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drawings/drawing7.xml" ContentType="application/vnd.openxmlformats-officedocument.drawing+xml"/>
  <Override PartName="/xl/tables/table5.xml" ContentType="application/vnd.openxmlformats-officedocument.spreadsheetml.table+xml"/>
  <Override PartName="/xl/drawings/drawing8.xml" ContentType="application/vnd.openxmlformats-officedocument.drawing+xml"/>
  <Override PartName="/xl/tables/table6.xml" ContentType="application/vnd.openxmlformats-officedocument.spreadsheetml.table+xml"/>
  <Override PartName="/xl/drawings/drawing9.xml" ContentType="application/vnd.openxmlformats-officedocument.drawing+xml"/>
  <Override PartName="/xl/tables/table7.xml" ContentType="application/vnd.openxmlformats-officedocument.spreadsheetml.table+xml"/>
  <Override PartName="/xl/drawings/drawing10.xml" ContentType="application/vnd.openxmlformats-officedocument.drawing+xml"/>
  <Override PartName="/xl/tables/table8.xml" ContentType="application/vnd.openxmlformats-officedocument.spreadsheetml.table+xml"/>
  <Override PartName="/xl/drawings/drawing11.xml" ContentType="application/vnd.openxmlformats-officedocument.drawing+xml"/>
  <Override PartName="/xl/tables/table9.xml" ContentType="application/vnd.openxmlformats-officedocument.spreadsheetml.table+xml"/>
  <Override PartName="/xl/drawings/drawing12.xml" ContentType="application/vnd.openxmlformats-officedocument.drawing+xml"/>
  <Override PartName="/xl/tables/table10.xml" ContentType="application/vnd.openxmlformats-officedocument.spreadsheetml.table+xml"/>
  <Override PartName="/xl/drawings/drawing13.xml" ContentType="application/vnd.openxmlformats-officedocument.drawing+xml"/>
  <Override PartName="/xl/tables/table11.xml" ContentType="application/vnd.openxmlformats-officedocument.spreadsheetml.table+xml"/>
  <Override PartName="/xl/drawings/drawing14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Fund\Rooyesh Fund\صندوق رویش همراه سرمایه\گزارش پرتفوی ماهانه\1405\1405-01-31\"/>
    </mc:Choice>
  </mc:AlternateContent>
  <xr:revisionPtr revIDLastSave="0" documentId="13_ncr:1_{45E3045B-6EDB-4ED6-BB7F-2CCE59354B39}" xr6:coauthVersionLast="47" xr6:coauthVersionMax="47" xr10:uidLastSave="{00000000-0000-0000-0000-000000000000}"/>
  <bookViews>
    <workbookView xWindow="-120" yWindow="-120" windowWidth="29040" windowHeight="15840" tabRatio="690" xr2:uid="{00000000-000D-0000-FFFF-FFFF00000000}"/>
  </bookViews>
  <sheets>
    <sheet name="1" sheetId="16" r:id="rId1"/>
    <sheet name=" سهام" sheetId="1" r:id="rId2"/>
    <sheet name="اوراق مشتقه" sheetId="29" r:id="rId3"/>
    <sheet name="درآمدها" sheetId="11" r:id="rId4"/>
    <sheet name="سپرده" sheetId="2" r:id="rId5"/>
    <sheet name="سود سپرده بانکی" sheetId="24" r:id="rId6"/>
    <sheet name="درآمد سود سهام" sheetId="12" r:id="rId7"/>
    <sheet name="درآمد ناشی ازفروش" sheetId="15" r:id="rId8"/>
    <sheet name="درآمد ناشی از تغییر قیمت اوراق " sheetId="14" r:id="rId9"/>
    <sheet name="درآمد سرمایه گذاری در سهام" sheetId="5" r:id="rId10"/>
    <sheet name="درآمد سرمایه گذاری در اوراق بها" sheetId="6" r:id="rId11"/>
    <sheet name="درآمد سرمایه گذاری در صندوق" sheetId="27" r:id="rId12"/>
    <sheet name="درآمد سپرده بانکی" sheetId="7" r:id="rId13"/>
    <sheet name="سایر درآمدها" sheetId="8" r:id="rId14"/>
  </sheets>
  <definedNames>
    <definedName name="_xlnm.Print_Area" localSheetId="1">' سهام'!$A$1:$M$47</definedName>
    <definedName name="_xlnm.Print_Area" localSheetId="0">'1'!$A$1:$M$49</definedName>
    <definedName name="_xlnm.Print_Area" localSheetId="2">'اوراق مشتقه'!$A$1:$N$52</definedName>
    <definedName name="_xlnm.Print_Area" localSheetId="12">'درآمد سپرده بانکی'!$A$1:$F$10</definedName>
    <definedName name="_xlnm.Print_Area" localSheetId="10">'درآمد سرمایه گذاری در اوراق بها'!$A$1:$I$10</definedName>
    <definedName name="_xlnm.Print_Area" localSheetId="9">'درآمد سرمایه گذاری در سهام'!$A$1:$K$171</definedName>
    <definedName name="_xlnm.Print_Area" localSheetId="11">'درآمد سرمایه گذاری در صندوق'!$A$1:$K$10</definedName>
    <definedName name="_xlnm.Print_Area" localSheetId="6">'درآمد سود سهام'!$A$1:$J$13</definedName>
    <definedName name="_xlnm.Print_Area" localSheetId="8">'درآمد ناشی از تغییر قیمت اوراق '!$A$1:$I$86</definedName>
    <definedName name="_xlnm.Print_Area" localSheetId="7">'درآمد ناشی ازفروش'!$A$1:$I$154</definedName>
    <definedName name="_xlnm.Print_Area" localSheetId="3">درآمدها!$A$1:$E$12</definedName>
    <definedName name="_xlnm.Print_Area" localSheetId="13">'سایر درآمدها'!$A$1:$C$10</definedName>
    <definedName name="_xlnm.Print_Area" localSheetId="4">سپرده!$A$1:$F$11</definedName>
    <definedName name="_xlnm.Print_Area" localSheetId="5">'سود سپرده بانکی'!$A$1:$G$9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1" i="5" l="1"/>
  <c r="E75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4" i="5"/>
  <c r="E15" i="5"/>
  <c r="E16" i="5"/>
  <c r="E17" i="5"/>
  <c r="E18" i="5"/>
  <c r="E19" i="5"/>
  <c r="E20" i="5"/>
  <c r="E21" i="5"/>
  <c r="E22" i="5"/>
  <c r="E23" i="5"/>
  <c r="E24" i="5"/>
  <c r="D85" i="14"/>
  <c r="D84" i="14"/>
  <c r="D83" i="14"/>
  <c r="D81" i="14"/>
  <c r="D79" i="14"/>
  <c r="D78" i="14"/>
  <c r="D77" i="14"/>
  <c r="D76" i="14"/>
  <c r="D75" i="14"/>
  <c r="D70" i="14"/>
  <c r="D66" i="14"/>
  <c r="D61" i="14"/>
  <c r="D58" i="14"/>
  <c r="D57" i="14"/>
  <c r="D56" i="14"/>
  <c r="D55" i="14"/>
  <c r="D54" i="14"/>
  <c r="D53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E7" i="14"/>
  <c r="J34" i="5"/>
  <c r="J4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0" i="5"/>
  <c r="J39" i="5"/>
  <c r="J38" i="5"/>
  <c r="J37" i="5"/>
  <c r="J36" i="5"/>
  <c r="J35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E11" i="5"/>
  <c r="D171" i="5"/>
  <c r="B10" i="8"/>
  <c r="E10" i="7"/>
  <c r="C10" i="7"/>
  <c r="D8" i="24"/>
  <c r="D7" i="24"/>
  <c r="B11" i="2"/>
  <c r="E9" i="2"/>
  <c r="E10" i="2"/>
  <c r="E8" i="2"/>
  <c r="J171" i="5" l="1"/>
  <c r="D86" i="14"/>
  <c r="E82" i="14"/>
  <c r="E80" i="14"/>
  <c r="I7" i="14" l="1"/>
  <c r="C154" i="15"/>
  <c r="D154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E147" i="15"/>
  <c r="E148" i="15"/>
  <c r="E149" i="15"/>
  <c r="E150" i="15"/>
  <c r="E151" i="15"/>
  <c r="E152" i="15"/>
  <c r="E153" i="15"/>
  <c r="E7" i="15"/>
  <c r="J13" i="12"/>
  <c r="I13" i="12"/>
  <c r="H13" i="12"/>
  <c r="G13" i="12"/>
  <c r="F13" i="12"/>
  <c r="E13" i="12"/>
  <c r="J47" i="1"/>
  <c r="H47" i="1"/>
  <c r="C86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81" i="14"/>
  <c r="E83" i="14"/>
  <c r="E84" i="14"/>
  <c r="E85" i="14"/>
  <c r="I86" i="14" l="1"/>
  <c r="E86" i="14"/>
  <c r="J150" i="15" l="1"/>
  <c r="I150" i="15"/>
  <c r="K150" i="15" s="1"/>
  <c r="J151" i="15"/>
  <c r="I151" i="15"/>
  <c r="K151" i="15" s="1"/>
  <c r="J152" i="15"/>
  <c r="I152" i="15"/>
  <c r="K152" i="15" s="1"/>
  <c r="G8" i="2" l="1"/>
  <c r="D47" i="1" l="1"/>
  <c r="C47" i="1"/>
  <c r="I171" i="5"/>
  <c r="C171" i="5"/>
  <c r="B171" i="5"/>
  <c r="H86" i="14"/>
  <c r="G86" i="14"/>
  <c r="G171" i="5" l="1"/>
  <c r="G8" i="24" l="1"/>
  <c r="G7" i="24"/>
  <c r="I7" i="24" s="1"/>
  <c r="F8" i="2"/>
  <c r="E11" i="2"/>
  <c r="D11" i="2"/>
  <c r="C11" i="2"/>
  <c r="G9" i="2" l="1"/>
  <c r="G10" i="2"/>
  <c r="L47" i="1"/>
  <c r="H171" i="5"/>
  <c r="G154" i="15"/>
  <c r="E8" i="15"/>
  <c r="E154" i="15" s="1"/>
  <c r="J9" i="15"/>
  <c r="J10" i="15"/>
  <c r="J11" i="15"/>
  <c r="J12" i="15"/>
  <c r="J13" i="15"/>
  <c r="J14" i="15"/>
  <c r="J15" i="15"/>
  <c r="J16" i="15"/>
  <c r="J17" i="15"/>
  <c r="J18" i="15"/>
  <c r="J19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H7" i="24"/>
  <c r="C7" i="11"/>
  <c r="E7" i="11" s="1"/>
  <c r="M12" i="1"/>
  <c r="M11" i="1"/>
  <c r="M10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C10" i="8"/>
  <c r="C11" i="11"/>
  <c r="G10" i="27"/>
  <c r="H10" i="27"/>
  <c r="I10" i="27"/>
  <c r="C8" i="11" s="1"/>
  <c r="E8" i="11" s="1"/>
  <c r="J10" i="27"/>
  <c r="E12" i="5"/>
  <c r="E13" i="5"/>
  <c r="I10" i="6"/>
  <c r="H10" i="6"/>
  <c r="C9" i="11" s="1"/>
  <c r="E9" i="11" s="1"/>
  <c r="G10" i="6"/>
  <c r="F10" i="6"/>
  <c r="E10" i="6"/>
  <c r="D10" i="6"/>
  <c r="B10" i="6"/>
  <c r="C10" i="6"/>
  <c r="E171" i="5" l="1"/>
  <c r="M47" i="1"/>
  <c r="J8" i="15"/>
  <c r="J20" i="15"/>
  <c r="E11" i="11"/>
  <c r="K47" i="1"/>
  <c r="F47" i="1"/>
  <c r="E9" i="24" l="1"/>
  <c r="F9" i="24"/>
  <c r="I8" i="24"/>
  <c r="G9" i="24"/>
  <c r="D9" i="24"/>
  <c r="H8" i="24"/>
  <c r="C9" i="24"/>
  <c r="B9" i="24"/>
  <c r="F9" i="2"/>
  <c r="F10" i="2"/>
  <c r="C10" i="11" l="1"/>
  <c r="E10" i="11" s="1"/>
  <c r="E12" i="11" s="1"/>
  <c r="F11" i="2"/>
  <c r="I9" i="24"/>
  <c r="H9" i="24"/>
  <c r="G11" i="2"/>
  <c r="C12" i="11" l="1"/>
  <c r="D8" i="11" l="1"/>
  <c r="F14" i="5"/>
  <c r="K59" i="5"/>
  <c r="K26" i="5"/>
  <c r="K75" i="5"/>
  <c r="K88" i="5"/>
  <c r="K104" i="5"/>
  <c r="F38" i="5"/>
  <c r="K27" i="5"/>
  <c r="K150" i="5"/>
  <c r="F104" i="5"/>
  <c r="F149" i="5"/>
  <c r="K36" i="5"/>
  <c r="K119" i="5"/>
  <c r="F158" i="5"/>
  <c r="F115" i="5"/>
  <c r="K152" i="5"/>
  <c r="F136" i="5"/>
  <c r="F127" i="5"/>
  <c r="F157" i="5"/>
  <c r="K157" i="5"/>
  <c r="F34" i="5"/>
  <c r="F12" i="5"/>
  <c r="K153" i="5"/>
  <c r="F55" i="5"/>
  <c r="F89" i="5"/>
  <c r="K121" i="5"/>
  <c r="K133" i="5"/>
  <c r="K39" i="5"/>
  <c r="F47" i="5"/>
  <c r="F96" i="5"/>
  <c r="K161" i="5"/>
  <c r="K125" i="5"/>
  <c r="F155" i="5"/>
  <c r="F144" i="5"/>
  <c r="K144" i="5"/>
  <c r="F93" i="5"/>
  <c r="F39" i="5"/>
  <c r="F78" i="5"/>
  <c r="F37" i="5"/>
  <c r="F65" i="5"/>
  <c r="F81" i="5"/>
  <c r="K35" i="5"/>
  <c r="F109" i="5"/>
  <c r="F63" i="5"/>
  <c r="F73" i="5"/>
  <c r="K24" i="5"/>
  <c r="K145" i="5"/>
  <c r="F159" i="5"/>
  <c r="K54" i="5"/>
  <c r="F83" i="5"/>
  <c r="K124" i="5"/>
  <c r="F101" i="5"/>
  <c r="F131" i="5"/>
  <c r="K126" i="5"/>
  <c r="K114" i="5"/>
  <c r="F58" i="5"/>
  <c r="K110" i="5"/>
  <c r="K143" i="5"/>
  <c r="K105" i="5"/>
  <c r="F49" i="5"/>
  <c r="K116" i="5"/>
  <c r="K154" i="5"/>
  <c r="F117" i="5"/>
  <c r="F36" i="5"/>
  <c r="F71" i="5"/>
  <c r="K79" i="5"/>
  <c r="F86" i="5"/>
  <c r="F124" i="5"/>
  <c r="F118" i="5"/>
  <c r="K11" i="5"/>
  <c r="K147" i="5"/>
  <c r="F130" i="5"/>
  <c r="F100" i="5"/>
  <c r="F99" i="5"/>
  <c r="K130" i="5"/>
  <c r="F27" i="5"/>
  <c r="F24" i="5"/>
  <c r="F44" i="5"/>
  <c r="K80" i="5"/>
  <c r="F132" i="5"/>
  <c r="F33" i="5"/>
  <c r="F70" i="5"/>
  <c r="K127" i="5"/>
  <c r="K83" i="5"/>
  <c r="K138" i="5"/>
  <c r="K149" i="5"/>
  <c r="F153" i="5"/>
  <c r="K92" i="5"/>
  <c r="F133" i="5"/>
  <c r="F163" i="5"/>
  <c r="K73" i="5"/>
  <c r="F122" i="5"/>
  <c r="F57" i="5"/>
  <c r="F119" i="5"/>
  <c r="K122" i="5"/>
  <c r="F156" i="5"/>
  <c r="K15" i="5"/>
  <c r="F120" i="5"/>
  <c r="K55" i="5"/>
  <c r="F25" i="5"/>
  <c r="K123" i="5"/>
  <c r="F15" i="5"/>
  <c r="K66" i="5"/>
  <c r="F135" i="5"/>
  <c r="K164" i="5"/>
  <c r="F32" i="5"/>
  <c r="K135" i="5"/>
  <c r="F76" i="5"/>
  <c r="F107" i="5"/>
  <c r="F59" i="5"/>
  <c r="F43" i="5"/>
  <c r="K43" i="5"/>
  <c r="F11" i="5"/>
  <c r="F143" i="5"/>
  <c r="F16" i="5"/>
  <c r="F41" i="5"/>
  <c r="K14" i="5"/>
  <c r="F77" i="5"/>
  <c r="F23" i="5"/>
  <c r="F92" i="5"/>
  <c r="F128" i="5"/>
  <c r="F21" i="5"/>
  <c r="K86" i="5"/>
  <c r="K128" i="5"/>
  <c r="F17" i="5"/>
  <c r="F68" i="5"/>
  <c r="F170" i="5"/>
  <c r="K47" i="5"/>
  <c r="K108" i="5"/>
  <c r="K129" i="5"/>
  <c r="F51" i="5"/>
  <c r="F148" i="5"/>
  <c r="F141" i="5"/>
  <c r="K20" i="5"/>
  <c r="K131" i="5"/>
  <c r="K141" i="5"/>
  <c r="K93" i="5"/>
  <c r="F162" i="5"/>
  <c r="K16" i="5"/>
  <c r="F169" i="5"/>
  <c r="K111" i="5"/>
  <c r="F105" i="5"/>
  <c r="K134" i="5"/>
  <c r="D10" i="11"/>
  <c r="K85" i="5"/>
  <c r="K146" i="5"/>
  <c r="F164" i="5"/>
  <c r="F98" i="5"/>
  <c r="F147" i="5"/>
  <c r="K81" i="5"/>
  <c r="K103" i="5"/>
  <c r="F87" i="5"/>
  <c r="F166" i="5"/>
  <c r="K170" i="5"/>
  <c r="K165" i="5"/>
  <c r="K89" i="5"/>
  <c r="K64" i="5"/>
  <c r="F150" i="5"/>
  <c r="K17" i="5"/>
  <c r="K45" i="5"/>
  <c r="F139" i="5"/>
  <c r="K46" i="5"/>
  <c r="F142" i="5"/>
  <c r="K139" i="5"/>
  <c r="K91" i="5"/>
  <c r="F137" i="5"/>
  <c r="K61" i="5"/>
  <c r="K40" i="5"/>
  <c r="K137" i="5"/>
  <c r="K140" i="5"/>
  <c r="F60" i="5"/>
  <c r="F19" i="5"/>
  <c r="F85" i="5"/>
  <c r="F79" i="5"/>
  <c r="K151" i="5"/>
  <c r="K69" i="5"/>
  <c r="K25" i="5"/>
  <c r="K90" i="5"/>
  <c r="K77" i="5"/>
  <c r="K167" i="5"/>
  <c r="F75" i="5"/>
  <c r="K102" i="5"/>
  <c r="F145" i="5"/>
  <c r="K29" i="5"/>
  <c r="F26" i="5"/>
  <c r="F146" i="5"/>
  <c r="K136" i="5"/>
  <c r="K49" i="5"/>
  <c r="F30" i="5"/>
  <c r="F160" i="5"/>
  <c r="K63" i="5"/>
  <c r="F56" i="5"/>
  <c r="F154" i="5"/>
  <c r="F106" i="5"/>
  <c r="K71" i="5"/>
  <c r="F69" i="5"/>
  <c r="K18" i="5"/>
  <c r="K117" i="5"/>
  <c r="F35" i="5"/>
  <c r="K65" i="5"/>
  <c r="K56" i="5"/>
  <c r="K112" i="5"/>
  <c r="F88" i="5"/>
  <c r="K23" i="5"/>
  <c r="K52" i="5"/>
  <c r="K142" i="5"/>
  <c r="K96" i="5"/>
  <c r="F31" i="5"/>
  <c r="K76" i="5"/>
  <c r="F152" i="5"/>
  <c r="K166" i="5"/>
  <c r="F13" i="5"/>
  <c r="K12" i="5"/>
  <c r="F46" i="5"/>
  <c r="F167" i="5"/>
  <c r="K109" i="5"/>
  <c r="K60" i="5"/>
  <c r="F53" i="5"/>
  <c r="K115" i="5"/>
  <c r="K107" i="5"/>
  <c r="F102" i="5"/>
  <c r="F91" i="5"/>
  <c r="K74" i="5"/>
  <c r="F54" i="5"/>
  <c r="F138" i="5"/>
  <c r="K57" i="5"/>
  <c r="F72" i="5"/>
  <c r="K162" i="5"/>
  <c r="K163" i="5"/>
  <c r="F151" i="5"/>
  <c r="K68" i="5"/>
  <c r="F123" i="5"/>
  <c r="K50" i="5"/>
  <c r="K148" i="5"/>
  <c r="K34" i="5"/>
  <c r="K42" i="5"/>
  <c r="F67" i="5"/>
  <c r="K32" i="5"/>
  <c r="K168" i="5"/>
  <c r="K21" i="5"/>
  <c r="K19" i="5"/>
  <c r="F66" i="5"/>
  <c r="K31" i="5"/>
  <c r="K95" i="5"/>
  <c r="K169" i="5"/>
  <c r="K100" i="5"/>
  <c r="K158" i="5"/>
  <c r="F48" i="5"/>
  <c r="F45" i="5"/>
  <c r="D9" i="11"/>
  <c r="F94" i="5"/>
  <c r="K48" i="5"/>
  <c r="K87" i="5"/>
  <c r="F50" i="5"/>
  <c r="F121" i="5"/>
  <c r="K155" i="5"/>
  <c r="F40" i="5"/>
  <c r="F61" i="5"/>
  <c r="F165" i="5"/>
  <c r="F28" i="5"/>
  <c r="K44" i="5"/>
  <c r="F112" i="5"/>
  <c r="K28" i="5"/>
  <c r="F97" i="5"/>
  <c r="K13" i="5"/>
  <c r="K30" i="5"/>
  <c r="F103" i="5"/>
  <c r="F129" i="5"/>
  <c r="D11" i="11"/>
  <c r="K22" i="5"/>
  <c r="K82" i="5"/>
  <c r="F82" i="5"/>
  <c r="F113" i="5"/>
  <c r="F64" i="5"/>
  <c r="F95" i="5"/>
  <c r="K9" i="27"/>
  <c r="K10" i="27" s="1"/>
  <c r="K58" i="5"/>
  <c r="K67" i="5"/>
  <c r="F29" i="5"/>
  <c r="F42" i="5"/>
  <c r="K160" i="5"/>
  <c r="K84" i="5"/>
  <c r="K101" i="5"/>
  <c r="F125" i="5"/>
  <c r="F134" i="5"/>
  <c r="F80" i="5"/>
  <c r="K78" i="5"/>
  <c r="K33" i="5"/>
  <c r="K38" i="5"/>
  <c r="K159" i="5"/>
  <c r="K98" i="5"/>
  <c r="K53" i="5"/>
  <c r="F161" i="5"/>
  <c r="K156" i="5"/>
  <c r="F20" i="5"/>
  <c r="K72" i="5"/>
  <c r="K94" i="5"/>
  <c r="D7" i="11"/>
  <c r="K120" i="5"/>
  <c r="K132" i="5"/>
  <c r="K70" i="5"/>
  <c r="F52" i="5"/>
  <c r="F116" i="5"/>
  <c r="F168" i="5"/>
  <c r="K41" i="5"/>
  <c r="K62" i="5"/>
  <c r="F74" i="5"/>
  <c r="K106" i="5"/>
  <c r="F62" i="5"/>
  <c r="F108" i="5"/>
  <c r="K99" i="5"/>
  <c r="K37" i="5"/>
  <c r="F140" i="5"/>
  <c r="F84" i="5"/>
  <c r="K113" i="5"/>
  <c r="F114" i="5"/>
  <c r="F22" i="5"/>
  <c r="K118" i="5"/>
  <c r="K97" i="5"/>
  <c r="K51" i="5"/>
  <c r="F126" i="5"/>
  <c r="F111" i="5"/>
  <c r="F18" i="5"/>
  <c r="F90" i="5"/>
  <c r="F110" i="5"/>
  <c r="D12" i="11" l="1"/>
  <c r="K171" i="5"/>
  <c r="J154" i="15"/>
  <c r="J153" i="15"/>
  <c r="I62" i="15"/>
  <c r="K62" i="15" s="1"/>
  <c r="I107" i="15"/>
  <c r="K107" i="15" s="1"/>
  <c r="I37" i="15"/>
  <c r="K37" i="15" s="1"/>
  <c r="I91" i="15"/>
  <c r="K91" i="15" s="1"/>
  <c r="I84" i="15"/>
  <c r="K84" i="15" s="1"/>
  <c r="I72" i="15"/>
  <c r="K72" i="15" s="1"/>
  <c r="I137" i="15"/>
  <c r="K137" i="15" s="1"/>
  <c r="I109" i="15"/>
  <c r="K109" i="15" s="1"/>
  <c r="I108" i="15"/>
  <c r="K108" i="15" s="1"/>
  <c r="I116" i="15"/>
  <c r="K116" i="15" s="1"/>
  <c r="I26" i="15"/>
  <c r="K26" i="15" s="1"/>
  <c r="I40" i="15"/>
  <c r="K40" i="15" s="1"/>
  <c r="I77" i="15"/>
  <c r="K77" i="15" s="1"/>
  <c r="I57" i="15"/>
  <c r="K57" i="15" s="1"/>
  <c r="I96" i="15"/>
  <c r="K96" i="15" s="1"/>
  <c r="I24" i="15"/>
  <c r="K24" i="15" s="1"/>
  <c r="I88" i="15"/>
  <c r="K88" i="15" s="1"/>
  <c r="I94" i="15"/>
  <c r="K94" i="15" s="1"/>
  <c r="I59" i="15"/>
  <c r="K59" i="15" s="1"/>
  <c r="I123" i="15"/>
  <c r="K123" i="15" s="1"/>
  <c r="I21" i="15"/>
  <c r="K21" i="15" s="1"/>
  <c r="I80" i="15"/>
  <c r="K80" i="15" s="1"/>
  <c r="I130" i="15"/>
  <c r="K130" i="15" s="1"/>
  <c r="I140" i="15"/>
  <c r="K140" i="15" s="1"/>
  <c r="I25" i="15"/>
  <c r="K25" i="15" s="1"/>
  <c r="I16" i="15"/>
  <c r="K16" i="15" s="1"/>
  <c r="I12" i="15"/>
  <c r="K12" i="15" s="1"/>
  <c r="I90" i="15"/>
  <c r="K90" i="15" s="1"/>
  <c r="I60" i="15"/>
  <c r="K60" i="15" s="1"/>
  <c r="I136" i="15"/>
  <c r="K136" i="15" s="1"/>
  <c r="I8" i="15"/>
  <c r="K8" i="15" s="1"/>
  <c r="I153" i="15"/>
  <c r="K153" i="15" s="1"/>
  <c r="I39" i="15"/>
  <c r="K39" i="15" s="1"/>
  <c r="I43" i="15"/>
  <c r="K43" i="15" s="1"/>
  <c r="I33" i="15"/>
  <c r="K33" i="15" s="1"/>
  <c r="I125" i="15"/>
  <c r="K125" i="15" s="1"/>
  <c r="I73" i="15"/>
  <c r="K73" i="15" s="1"/>
  <c r="I64" i="15"/>
  <c r="K64" i="15" s="1"/>
  <c r="I11" i="15"/>
  <c r="K11" i="15" s="1"/>
  <c r="I75" i="15"/>
  <c r="K75" i="15" s="1"/>
  <c r="I27" i="15"/>
  <c r="K27" i="15" s="1"/>
  <c r="I61" i="15"/>
  <c r="K61" i="15" s="1"/>
  <c r="I10" i="15"/>
  <c r="K10" i="15" s="1"/>
  <c r="I63" i="15"/>
  <c r="K63" i="15" s="1"/>
  <c r="I54" i="15"/>
  <c r="K54" i="15" s="1"/>
  <c r="I134" i="15"/>
  <c r="K134" i="15" s="1"/>
  <c r="I71" i="15"/>
  <c r="K71" i="15" s="1"/>
  <c r="I117" i="15"/>
  <c r="K117" i="15" s="1"/>
  <c r="I139" i="15"/>
  <c r="K139" i="15" s="1"/>
  <c r="I93" i="15"/>
  <c r="K93" i="15" s="1"/>
  <c r="I149" i="15"/>
  <c r="K149" i="15" s="1"/>
  <c r="I58" i="15"/>
  <c r="K58" i="15" s="1"/>
  <c r="I113" i="15"/>
  <c r="K113" i="15" s="1"/>
  <c r="I146" i="15"/>
  <c r="K146" i="15" s="1"/>
  <c r="I145" i="15"/>
  <c r="K145" i="15" s="1"/>
  <c r="I45" i="15"/>
  <c r="K45" i="15" s="1"/>
  <c r="I86" i="15"/>
  <c r="K86" i="15" s="1"/>
  <c r="I28" i="15"/>
  <c r="K28" i="15" s="1"/>
  <c r="I97" i="15"/>
  <c r="K97" i="15" s="1"/>
  <c r="I55" i="15"/>
  <c r="K55" i="15" s="1"/>
  <c r="I20" i="15"/>
  <c r="K20" i="15" s="1"/>
  <c r="I48" i="15"/>
  <c r="K48" i="15" s="1"/>
  <c r="I148" i="15"/>
  <c r="K148" i="15" s="1"/>
  <c r="I81" i="15"/>
  <c r="K81" i="15" s="1"/>
  <c r="I18" i="15"/>
  <c r="K18" i="15" s="1"/>
  <c r="I13" i="15"/>
  <c r="K13" i="15" s="1"/>
  <c r="I133" i="15"/>
  <c r="K133" i="15" s="1"/>
  <c r="I124" i="15"/>
  <c r="K124" i="15" s="1"/>
  <c r="I92" i="15"/>
  <c r="K92" i="15" s="1"/>
  <c r="I15" i="15"/>
  <c r="K15" i="15" s="1"/>
  <c r="I121" i="15"/>
  <c r="K121" i="15" s="1"/>
  <c r="I30" i="15"/>
  <c r="K30" i="15" s="1"/>
  <c r="I82" i="15"/>
  <c r="K82" i="15" s="1"/>
  <c r="I129" i="15"/>
  <c r="K129" i="15" s="1"/>
  <c r="I65" i="15"/>
  <c r="K65" i="15" s="1"/>
  <c r="I103" i="15"/>
  <c r="K103" i="15" s="1"/>
  <c r="I38" i="15"/>
  <c r="K38" i="15" s="1"/>
  <c r="I56" i="15"/>
  <c r="K56" i="15" s="1"/>
  <c r="I36" i="15"/>
  <c r="K36" i="15" s="1"/>
  <c r="I69" i="15"/>
  <c r="K69" i="15" s="1"/>
  <c r="I118" i="15"/>
  <c r="K118" i="15" s="1"/>
  <c r="I41" i="15"/>
  <c r="K41" i="15" s="1"/>
  <c r="I52" i="15"/>
  <c r="K52" i="15" s="1"/>
  <c r="I119" i="15"/>
  <c r="K119" i="15" s="1"/>
  <c r="I50" i="15"/>
  <c r="K50" i="15" s="1"/>
  <c r="I22" i="15"/>
  <c r="K22" i="15" s="1"/>
  <c r="I85" i="15"/>
  <c r="K85" i="15" s="1"/>
  <c r="I49" i="15"/>
  <c r="K49" i="15" s="1"/>
  <c r="I89" i="15"/>
  <c r="K89" i="15" s="1"/>
  <c r="I17" i="15"/>
  <c r="K17" i="15" s="1"/>
  <c r="I120" i="15"/>
  <c r="K120" i="15" s="1"/>
  <c r="I100" i="15"/>
  <c r="K100" i="15" s="1"/>
  <c r="I76" i="15"/>
  <c r="K76" i="15" s="1"/>
  <c r="I83" i="15"/>
  <c r="K83" i="15" s="1"/>
  <c r="I105" i="15"/>
  <c r="K105" i="15" s="1"/>
  <c r="I29" i="15"/>
  <c r="K29" i="15" s="1"/>
  <c r="I87" i="15"/>
  <c r="K87" i="15" s="1"/>
  <c r="I132" i="15"/>
  <c r="K132" i="15" s="1"/>
  <c r="I110" i="15"/>
  <c r="K110" i="15" s="1"/>
  <c r="I68" i="15"/>
  <c r="K68" i="15" s="1"/>
  <c r="I9" i="15"/>
  <c r="K9" i="15" s="1"/>
  <c r="I66" i="15"/>
  <c r="K66" i="15" s="1"/>
  <c r="I141" i="15"/>
  <c r="K141" i="15" s="1"/>
  <c r="I101" i="15"/>
  <c r="K101" i="15" s="1"/>
  <c r="I131" i="15"/>
  <c r="K131" i="15" s="1"/>
  <c r="I34" i="15"/>
  <c r="K34" i="15" s="1"/>
  <c r="I102" i="15"/>
  <c r="K102" i="15" s="1"/>
  <c r="I31" i="15"/>
  <c r="K31" i="15" s="1"/>
  <c r="I14" i="15"/>
  <c r="K14" i="15" s="1"/>
  <c r="I23" i="15"/>
  <c r="K23" i="15" s="1"/>
  <c r="I128" i="15"/>
  <c r="K128" i="15" s="1"/>
  <c r="I115" i="15"/>
  <c r="K115" i="15" s="1"/>
  <c r="I142" i="15"/>
  <c r="K142" i="15" s="1"/>
  <c r="I106" i="15"/>
  <c r="K106" i="15" s="1"/>
  <c r="I95" i="15"/>
  <c r="K95" i="15" s="1"/>
  <c r="I143" i="15"/>
  <c r="K143" i="15" s="1"/>
  <c r="I127" i="15"/>
  <c r="K127" i="15" s="1"/>
  <c r="I147" i="15"/>
  <c r="K147" i="15" s="1"/>
  <c r="I70" i="15"/>
  <c r="K70" i="15" s="1"/>
  <c r="I135" i="15"/>
  <c r="K135" i="15" s="1"/>
  <c r="I78" i="15"/>
  <c r="K78" i="15" s="1"/>
  <c r="I112" i="15"/>
  <c r="K112" i="15" s="1"/>
  <c r="I144" i="15"/>
  <c r="K144" i="15" s="1"/>
  <c r="I74" i="15"/>
  <c r="K74" i="15" s="1"/>
  <c r="I51" i="15"/>
  <c r="K51" i="15" s="1"/>
  <c r="I104" i="15"/>
  <c r="K104" i="15" s="1"/>
  <c r="I122" i="15"/>
  <c r="K122" i="15" s="1"/>
  <c r="I47" i="15"/>
  <c r="K47" i="15" s="1"/>
  <c r="I111" i="15"/>
  <c r="K111" i="15" s="1"/>
  <c r="I98" i="15"/>
  <c r="K98" i="15" s="1"/>
  <c r="I44" i="15"/>
  <c r="K44" i="15" s="1"/>
  <c r="I42" i="15"/>
  <c r="K42" i="15" s="1"/>
  <c r="I138" i="15"/>
  <c r="K138" i="15" s="1"/>
  <c r="I67" i="15"/>
  <c r="K67" i="15" s="1"/>
  <c r="I79" i="15"/>
  <c r="K79" i="15" s="1"/>
  <c r="I114" i="15"/>
  <c r="K114" i="15" s="1"/>
  <c r="I35" i="15"/>
  <c r="K35" i="15" s="1"/>
  <c r="I99" i="15"/>
  <c r="K99" i="15" s="1"/>
  <c r="I46" i="15"/>
  <c r="K46" i="15" s="1"/>
  <c r="I126" i="15"/>
  <c r="K126" i="15" s="1"/>
  <c r="I19" i="15"/>
  <c r="K19" i="15" s="1"/>
  <c r="I32" i="15"/>
  <c r="K32" i="15" s="1"/>
  <c r="I53" i="15"/>
  <c r="K53" i="15" s="1"/>
  <c r="H154" i="15"/>
  <c r="I7" i="15"/>
  <c r="K7" i="15" s="1"/>
  <c r="J7" i="15"/>
  <c r="I154" i="15" l="1"/>
  <c r="K154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E1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<sst xmlns="http://schemas.openxmlformats.org/spreadsheetml/2006/main" count="1069" uniqueCount="280">
  <si>
    <t>صندوق سرمایه گذاری رویش همراه سرمایه</t>
  </si>
  <si>
    <t xml:space="preserve"> صندوق سرمایه گذاری رویش همراه سرمایه</t>
  </si>
  <si>
    <t xml:space="preserve">صورت وضعیت پرتفوی </t>
  </si>
  <si>
    <t>1- سرمایه گذاری ها</t>
  </si>
  <si>
    <t>1-1-سرمایه‌گذاری در سهام و حق تقدم سهام وصندوق‌های سرمایه‌گذاری</t>
  </si>
  <si>
    <t>تغییرات طی دوره</t>
  </si>
  <si>
    <t>شرکت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</si>
  <si>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</si>
  <si>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</si>
  <si>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</si>
  <si>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</si>
  <si>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</si>
  <si>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 هر سهم</t>
  </si>
  <si>
    <t>درصد به کل  دارایی‌ها</t>
  </si>
  <si>
    <t>مبلغ خرید</t>
  </si>
  <si>
    <t>مبلغ فروش</t>
  </si>
  <si>
    <t>پتروشیمی نوری (نوری)</t>
  </si>
  <si>
    <t>آلومینای ایران (آلومینا)</t>
  </si>
  <si>
    <t>فولادخراسان (فخاس)</t>
  </si>
  <si>
    <t>سر. غدیر (وغدیر)</t>
  </si>
  <si>
    <t>پالایش نفت اصفهان (شپنا)</t>
  </si>
  <si>
    <t>سر. سپه (وسپه)</t>
  </si>
  <si>
    <t>پست بانک ایران (وپست)</t>
  </si>
  <si>
    <t>گسترش نفت و گاز پارسیان (پارسان)</t>
  </si>
  <si>
    <t>فولاد مبارکه اصفهان (فولاد)</t>
  </si>
  <si>
    <t>صنایع شیمیایی ایران (شیران)</t>
  </si>
  <si>
    <t>کویر تایر (پکویر)</t>
  </si>
  <si>
    <t>چادرملو (کچاد)</t>
  </si>
  <si>
    <t>بانک ملت (وبملت)</t>
  </si>
  <si>
    <t>گروه مپنا (رمپنا)</t>
  </si>
  <si>
    <t>پالایش نفت بندر عباس (شبندر)</t>
  </si>
  <si>
    <t>ملی صنایع مس ایران (فملی)</t>
  </si>
  <si>
    <t>صنایع پتروشیمی خلیج فارس (فارس)</t>
  </si>
  <si>
    <t>لنت ترمز (خلنت)</t>
  </si>
  <si>
    <t>مولد نیروگاهی تجارت فارس (بمولد)</t>
  </si>
  <si>
    <t>سر. صندوق بازنشستگی (وصندوق)</t>
  </si>
  <si>
    <t>سر. گروه توسعه ملی (وبانک)</t>
  </si>
  <si>
    <t>پتروشیمی شیراز (شیراز)</t>
  </si>
  <si>
    <t>سر. توسعه معادن و فلزات (ومعادن)</t>
  </si>
  <si>
    <t>گروه بهمن (خبهمن)</t>
  </si>
  <si>
    <t>مبین انرژی خلیج فارس (مبین)</t>
  </si>
  <si>
    <t>سیمان آبیک (سآبیک)</t>
  </si>
  <si>
    <t>سیمان فارس و خوزستان (سفارس)</t>
  </si>
  <si>
    <t>ارتباطات سیار (همراه)</t>
  </si>
  <si>
    <t>نفت ایرانول (شرانل)</t>
  </si>
  <si>
    <t>نفت بهران (شبهرن)</t>
  </si>
  <si>
    <t>مس باهنر (فباهنر)</t>
  </si>
  <si>
    <t>سر. نفت و گاز تامین (تاپیکو)</t>
  </si>
  <si>
    <t>همکاران سیستم (سیستم)</t>
  </si>
  <si>
    <t>نیروگاهی جهرم (بجهرم)</t>
  </si>
  <si>
    <t>سر. صدر تامین (تاصیکو)</t>
  </si>
  <si>
    <t>تامین سرمایه امین (امین)</t>
  </si>
  <si>
    <t>داروسازی دانا (ددانا)</t>
  </si>
  <si>
    <t>صنایع شیمیایی کیمیاگران امروز (شکام)</t>
  </si>
  <si>
    <t>تامین سرمایه خلیج فارس (تفارس)</t>
  </si>
  <si>
    <t>بین المللی توسعه صنایع و معادن غدیر (وکغدیر)</t>
  </si>
  <si>
    <t>نیان الکترونیک (نیان)</t>
  </si>
  <si>
    <t>نشاسته و گلوکز آردینه (آردینه)</t>
  </si>
  <si>
    <t>آترا زیست آرای (داترا)</t>
  </si>
  <si>
    <t>کیمیا کالای رازی (کیمازی)</t>
  </si>
  <si>
    <t>جمع</t>
  </si>
  <si>
    <t/>
  </si>
  <si>
    <t>نام سهام</t>
  </si>
  <si>
    <t>اسناد خزانه-م1-س.قوا03-060615 (اخزا301)</t>
  </si>
  <si>
    <t>3-1- سرمایه‌گذاری در  سپرده‌ بانکی</t>
  </si>
  <si>
    <t>سپرده های بانکی</t>
  </si>
  <si>
    <t>شماره حساب</t>
  </si>
  <si>
    <t>مبلغ</t>
  </si>
  <si>
    <t>افزایش</t>
  </si>
  <si>
    <t>کاهش</t>
  </si>
  <si>
    <t xml:space="preserve">پارسیان 40109885570600 </t>
  </si>
  <si>
    <t>40109885570600</t>
  </si>
  <si>
    <t>پارسیان 20101410664603</t>
  </si>
  <si>
    <t>پارسیان 40109769147601</t>
  </si>
  <si>
    <t>40109769147601</t>
  </si>
  <si>
    <t>پارسیان 30102659466608</t>
  </si>
  <si>
    <t xml:space="preserve">صورت وضعیت درآمدها </t>
  </si>
  <si>
    <t>2- درآمد حاصل از سرمایه­گذاری در سهام و حق تقدم سهام و صندوق‌های سرمایه‌گذاری</t>
  </si>
  <si>
    <t>شرح</t>
  </si>
  <si>
    <t>یادداشت</t>
  </si>
  <si>
    <t>درصد از کل درآمدها</t>
  </si>
  <si>
    <t>درصد از کل دارایی ها</t>
  </si>
  <si>
    <t>درآمد حاصل از سرمایه­گذاری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</si>
  <si>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</si>
  <si>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</si>
  <si>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</si>
  <si>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</si>
  <si>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</si>
  <si>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</si>
  <si>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</si>
  <si>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درآمد سود سهام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</si>
  <si>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</si>
  <si>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</si>
  <si>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</si>
  <si>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</si>
  <si>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</si>
  <si>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</si>
  <si>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</si>
  <si>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1404/07/20</t>
  </si>
  <si>
    <t>1404/07/30</t>
  </si>
  <si>
    <t xml:space="preserve">درآمد سود 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</si>
  <si>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</si>
  <si>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</si>
  <si>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</si>
  <si>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</si>
  <si>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</si>
  <si>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</si>
  <si>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پویا زرکان آق دره (فزر)</t>
  </si>
  <si>
    <t>گروه مالی مهرگان تامین پارس (مهرگان)</t>
  </si>
  <si>
    <t>سر. مس سرچشمه (سرچشمه)</t>
  </si>
  <si>
    <t>دارویی و نهاده های زاگرس دارو (دزاگرس)</t>
  </si>
  <si>
    <t>سر. دارویی تامین (تیپیکو)</t>
  </si>
  <si>
    <t>گسترش سوخت سبز زاگرس (شگستر)</t>
  </si>
  <si>
    <t>پارس مینو (غپینو)</t>
  </si>
  <si>
    <t>انتقال داده های آسیاتک (اسیاتک)</t>
  </si>
  <si>
    <t>سایپا (خساپا)</t>
  </si>
  <si>
    <t>سیمان شاهرود (سرود)</t>
  </si>
  <si>
    <t>کاشی حافظ (کحافظ)</t>
  </si>
  <si>
    <t>سر. تامین اجتماعی (شستا)</t>
  </si>
  <si>
    <t>بورس کالای ایران (کالا)</t>
  </si>
  <si>
    <t>ایران خودرو (خودرو)</t>
  </si>
  <si>
    <t>درآمد ناشی از تغییر قیمت اوراق بهادار</t>
  </si>
  <si>
    <t>سود و زیان ناشی از تغییر قیمت</t>
  </si>
  <si>
    <t>2-2-درآمد حاصل از سرمایه­گذاری در اوراق بهادار با درآمد ثابت:</t>
  </si>
  <si>
    <t>درآمد سود اوراق</t>
  </si>
  <si>
    <t>درآمد تغییر ارزش</t>
  </si>
  <si>
    <t>درآمد فروش</t>
  </si>
  <si>
    <t>یادداشت …</t>
  </si>
  <si>
    <t>یادداشت ...</t>
  </si>
  <si>
    <t>1-2-درآمد حاصل از سرمایه­گذاری در سهام و حق تقدم سهام:</t>
  </si>
  <si>
    <t>دارایی</t>
  </si>
  <si>
    <t>درصد از کل درآمد ها</t>
  </si>
  <si>
    <t>3-2-درآمد حاصل از سرمایه­گذاری در سپرده بانکی و گواهی سپرده:</t>
  </si>
  <si>
    <t>نام سپرده بانکی</t>
  </si>
  <si>
    <t>نام سپرده</t>
  </si>
  <si>
    <t>سود سپرده بانکی و گواهی سپرده</t>
  </si>
  <si>
    <t>درصد سود به میانگین سپرده</t>
  </si>
  <si>
    <t>4-2-سایر درآمدها:</t>
  </si>
  <si>
    <t>تعدیل کارمزد کارگزاری</t>
  </si>
  <si>
    <t>جمع دارایی‌ها</t>
  </si>
  <si>
    <t>درصد به کل دارایی</t>
  </si>
  <si>
    <t>بانک تجارت (وتجارت)</t>
  </si>
  <si>
    <t>بانک پارسیان (وپارس)</t>
  </si>
  <si>
    <t>پخش البرز (پخش)</t>
  </si>
  <si>
    <t>گل گهر (کگل)</t>
  </si>
  <si>
    <t>توسعه صنایع بهشهر (وبشهر)</t>
  </si>
  <si>
    <t>پتروشیمی قائد بصیر (شبصیر)</t>
  </si>
  <si>
    <t>پتروشیمی خراسان (خراسان)</t>
  </si>
  <si>
    <t>مخابرات ایران (اخابر)</t>
  </si>
  <si>
    <t>ذوب آهن اصفهان (ذوب)</t>
  </si>
  <si>
    <t>بانک صادرات ایران (وبصادر)</t>
  </si>
  <si>
    <t>کیسون (کیسون)</t>
  </si>
  <si>
    <t>پتروشیمی تندگویان (شگویا)</t>
  </si>
  <si>
    <t>پتروشیمی اروند (اروند)</t>
  </si>
  <si>
    <t>فرآورده های دامی ولبنی دالاهو (غانیزان)</t>
  </si>
  <si>
    <t>اختیارخ خساپا-500-1404/10/24 (ضسپا1040)</t>
  </si>
  <si>
    <t>اختیارخ وتجارت-500-1404/10/17 (ضجار1075)</t>
  </si>
  <si>
    <t>اختیارخ خساپا-500-1404/11/29 (ضسپا1138)</t>
  </si>
  <si>
    <t>اختیارخ خودرو-550-1404/12/06 (ضخود1250)</t>
  </si>
  <si>
    <t>اختیارخ فملی-12000-1404/11/01 (ضملی1413)</t>
  </si>
  <si>
    <t>آسمان دامون (دامون)</t>
  </si>
  <si>
    <t>درآمد حاصل از سرمایه­گذاری در واحدهای صندوق های سرمایه­گذاری</t>
  </si>
  <si>
    <t>5-2</t>
  </si>
  <si>
    <t>اختیارخ فملی-16000-1404/11/01 (ضملی1417)</t>
  </si>
  <si>
    <t>اختیارخ وبملت-1600-1404/11/21 (ضملت1189)</t>
  </si>
  <si>
    <t>اختیارخ شستا-1910-1404/11/08 (ضستا1147)</t>
  </si>
  <si>
    <t>اختیارخ شستا-1710-1404/11/08 (ضستا1145)</t>
  </si>
  <si>
    <t>اختیارخ اخابر-600-1404/11/21 (ضمخا1108)</t>
  </si>
  <si>
    <t>اختیارخ خودرو-600-1404/11/01 (ضخود1154)</t>
  </si>
  <si>
    <t>اختیارخ فولاد-3750-1404/11/08 (ضفلا1412)</t>
  </si>
  <si>
    <t>اختیارخ ذوب-400-1404/12/19 (ضذوب1218)</t>
  </si>
  <si>
    <t>اختیارخ خودرو-650-1404/12/06 (ضخود1252)</t>
  </si>
  <si>
    <t>اختیارخ وبصادر-650-1404/11/21 (ضصاد1168)</t>
  </si>
  <si>
    <t>اختیارخ خساپا-550-1404/11/29 (ضسپا1139)</t>
  </si>
  <si>
    <t>اختیارخ وبملت-1400-1404/11/21 (ضملت1187)</t>
  </si>
  <si>
    <t>اختیارخ شستا-1810-1404/12/13 (ضستا1244)</t>
  </si>
  <si>
    <t>اختیارخ شستا-1810-1404/11/08 (ضستا1146)</t>
  </si>
  <si>
    <t>اختیارخ ذوب-450-1404/11/21 (ضذوب1147)</t>
  </si>
  <si>
    <t>اختیارخ فملی-15000-1405/01/11 (ضملی0134)</t>
  </si>
  <si>
    <t>اختیارخ وبصادر-700-1404/11/21 (ضصاد1169)</t>
  </si>
  <si>
    <t>اختیارخ شپنا-7500-1404/12/19 (ضشنا1236)</t>
  </si>
  <si>
    <t>اختیارخ وبملت-1500-1404/10/17 (ضملت1011)</t>
  </si>
  <si>
    <t>اختیارخ وبملت-1400-1404/10/17 (ضملت1010)</t>
  </si>
  <si>
    <t>اختیارخ وبملت-1500-1404/11/21 (ضملت1188)</t>
  </si>
  <si>
    <t>اختیارخ اخابر-600-1405/01/19 (ضمخا0108)</t>
  </si>
  <si>
    <t>اختیارخ خساپا-550-1404/12/26 (ضسپا1248)</t>
  </si>
  <si>
    <t>اختیارخ ذوب-400-1404/11/21 (ضذوب1146)</t>
  </si>
  <si>
    <t>اختیارخ اخابر-500-1404/11/21 (ضمخا1106)</t>
  </si>
  <si>
    <t>اختیارخ فزر-110000-14041112 (ضفزر1106)</t>
  </si>
  <si>
    <t>اختیارخ شپنا-8000-1404/12/19 (ضشنا1237)</t>
  </si>
  <si>
    <t>اختیارخ فزر-100000-14041112 (ضفزر1105)</t>
  </si>
  <si>
    <t>اختیارخ فملی-14000-1405/01/11 (ضملی0133)</t>
  </si>
  <si>
    <t>اختیارخ وبصادر-650-1405/01/19 (ضصاد0132)</t>
  </si>
  <si>
    <t>اختیارخ شستا-2010-1404/12/13 (ضستا1245)</t>
  </si>
  <si>
    <t>اختیارخ خودرو-600-1404/12/06 (ضخود1251)</t>
  </si>
  <si>
    <t>اختیارخ وبصادر-600-1404/11/21 (ضصاد1167)</t>
  </si>
  <si>
    <t>صندوق</t>
  </si>
  <si>
    <t>درآمد سود صندوق</t>
  </si>
  <si>
    <t xml:space="preserve">قیمت اعمال </t>
  </si>
  <si>
    <t>تاریخ اعمال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</si>
  <si>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</si>
  <si>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</si>
  <si>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</si>
  <si>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</si>
  <si>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</si>
  <si>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موقعیت فروش</t>
  </si>
  <si>
    <t>موقعیت خرید</t>
  </si>
  <si>
    <t>فروش</t>
  </si>
  <si>
    <t>خرید</t>
  </si>
  <si>
    <t>1404/11/21</t>
  </si>
  <si>
    <t>1404/12/06</t>
  </si>
  <si>
    <t>1404/11/12</t>
  </si>
  <si>
    <t>نیرو ترانس (بنیرو)</t>
  </si>
  <si>
    <t>بانک اقتصاد نوین (ونوین)</t>
  </si>
  <si>
    <t>دارو رازک (درازک)</t>
  </si>
  <si>
    <t>شیر پاستوریزه پگاه گلستان (غگلستا)</t>
  </si>
  <si>
    <t>پارس فولاد سبزوار (فسبزوار)</t>
  </si>
  <si>
    <t>اختیارخ وبملت-1300-1404/11/21 (ضملت1186)</t>
  </si>
  <si>
    <t>اختیارخ شستا-1410-1404/12/13 (ضستا1240)</t>
  </si>
  <si>
    <t>اختیارخ شستا-1510-1404/12/13 (ضستا1241)</t>
  </si>
  <si>
    <t>اختیارخ شستا-1610-1404/12/13 (ضستا1242)</t>
  </si>
  <si>
    <t>اختیارخ شستا-1710-1404/12/13 (ضستا1243)</t>
  </si>
  <si>
    <t>اختیارخ خساپا-500-1404/12/26 (ضسپا1247)</t>
  </si>
  <si>
    <t>اختیارخ خودرو-400-1405/01/11 (ضخود0146)</t>
  </si>
  <si>
    <t>اختیارخ خودرو-500-1405/01/11 (ضخود0148)</t>
  </si>
  <si>
    <t>اختیارخ خودرو-600-1405/01/11 (ضخود0150)</t>
  </si>
  <si>
    <t>اختیارخ خودرو-650-1405/01/11 (ضخود0151)</t>
  </si>
  <si>
    <t>اختیارخ شپنا-6500-1404/12/19 (ضشنا1234)</t>
  </si>
  <si>
    <t>اختیارخ شپنا-7000-1404/12/19 (ضشنا1235)</t>
  </si>
  <si>
    <t>اختیارخ فملی-13000-1405/01/11 (ضملی0132)</t>
  </si>
  <si>
    <t>اختیارخ خودرو-550-1405/02/02 (ضخود2068)</t>
  </si>
  <si>
    <t>اختیارخ خودرو-600-1405/02/02 (ضخود2069)</t>
  </si>
  <si>
    <t>ضفزر1220 (ضفزر1220)</t>
  </si>
  <si>
    <t>ضفزر1221 (ضفزر1221)</t>
  </si>
  <si>
    <t>اختیارخ فولاد-3250-1404/12/13 (ضفلا1221)</t>
  </si>
  <si>
    <t>اختیارخ فولاد-3500-1404/12/13 (ضفلا1222)</t>
  </si>
  <si>
    <t>اختیارخ فولاد-3750-1404/12/13 (ضفلا1223)</t>
  </si>
  <si>
    <t>اختیارخ اخابر-380-1405/01/19 (ضمخا0103)</t>
  </si>
  <si>
    <t>اختیارخ اخابر-400-1405/01/19 (ضمخا0104)</t>
  </si>
  <si>
    <t>اختیارخ اخابر-450-1405/01/19 (ضمخا0105)</t>
  </si>
  <si>
    <t>1405/02/02</t>
  </si>
  <si>
    <t>1404/11/28</t>
  </si>
  <si>
    <t>اختیارخ شستا-1310-1404/11/08 (ضستا1141)</t>
  </si>
  <si>
    <t>اختیارخ تاصیکو-13000-04/11/01 (ضتاص1109)</t>
  </si>
  <si>
    <t>اختیارخ وبملت-1100-1404/11/21 (ضملت1184)</t>
  </si>
  <si>
    <t>اختیارخ شستا-1410-1404/11/08 (ضستا1142)</t>
  </si>
  <si>
    <t>اختیارخ تاصیکو-6000-04/11/01 (ضتاص1100)</t>
  </si>
  <si>
    <t>اختیارخ شستا-1510-1404/11/08 (ضستا1143)</t>
  </si>
  <si>
    <t>اختیارخ وبملت-1200-1404/11/21 (ضملت1185)</t>
  </si>
  <si>
    <t>اختیارف وبملت-1000-1404/11/21 (طملت1183)</t>
  </si>
  <si>
    <t>1404/12/29</t>
  </si>
  <si>
    <t>آلومینیوم ایران (فایرا)</t>
  </si>
  <si>
    <t>توسعه صنایع بهشهر (حق تقدم) (وبشهرح)</t>
  </si>
  <si>
    <t>سر. صدر تامین (حق تقدم) (تاصیکوح)</t>
  </si>
  <si>
    <t>ضملت1203 (ضملت1203)</t>
  </si>
  <si>
    <t>ضملت1204 (ضملت1204)</t>
  </si>
  <si>
    <t>ضملت1205 (ضملت1205)</t>
  </si>
  <si>
    <t>ضملت1206 (ضملت1206)</t>
  </si>
  <si>
    <t>ضجار1232 (ضجار1232)</t>
  </si>
  <si>
    <t>ضجار1233 (ضجار1233)</t>
  </si>
  <si>
    <t>ضجار1234 (ضجار1234)</t>
  </si>
  <si>
    <t>1405/01/30</t>
  </si>
  <si>
    <t>اختیارخ خودرو-450-1405/01/11 (ضخود0147)</t>
  </si>
  <si>
    <t>-</t>
  </si>
  <si>
    <t>از ابتدای سال مالی تا 1404/12/29</t>
  </si>
  <si>
    <t>1404/12/05</t>
  </si>
  <si>
    <t>1404/12/10</t>
  </si>
  <si>
    <t>ضجار1235 (ضجار1235)</t>
  </si>
  <si>
    <t>ضملت1208 (ضملت1208)</t>
  </si>
  <si>
    <t>اختیارخ وغدیر-14000-1404/12/06 (ضغدر1205)</t>
  </si>
  <si>
    <t>1405/01/31</t>
  </si>
  <si>
    <t>برای ماه منتهی به 1405/01/31</t>
  </si>
  <si>
    <t>1405/01/29</t>
  </si>
  <si>
    <t>از 1404/12/29 تا  1405/01/31</t>
  </si>
  <si>
    <t>از ابتدای سال مالی تا 1405/01/31</t>
  </si>
  <si>
    <t>برای ماه منتهی به  1405/01/31</t>
  </si>
  <si>
    <t>2.28</t>
  </si>
  <si>
    <t>-200.00</t>
  </si>
  <si>
    <t>17.88</t>
  </si>
  <si>
    <t>1864.52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</si>
</sst>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#,##0;\(#,##0\);"/>
    <numFmt numFmtId="165" formatCode="#,##0.00;\(#,##0.00\);"/>
    <numFmt numFmtId="166" formatCode="_ * #,##0_-_ ;_ * #,##0\-_ ;_ * &quot;-&quot;??_-_ ;_ @_ "/>
  </numFmts>
  <fonts count="32" x14ac:knownFonts="1">
    <font>
      <sz val="11"/>
      <color theme="1"/>
      <name val="B Nazanin"/>
      <family val="2"/>
      <charset val="178"/>
      <scheme val="minor"/>
    </font>
    <font>
      <b/>
      <sz val="12"/>
      <color theme="1"/>
      <name val="B Nazanin"/>
      <charset val="178"/>
    </font>
    <font>
      <b/>
      <sz val="10"/>
      <color theme="1"/>
      <name val="B Nazanin"/>
      <charset val="178"/>
    </font>
    <font>
      <sz val="11"/>
      <color theme="1"/>
      <name val="B Nazanin"/>
      <charset val="178"/>
    </font>
    <font>
      <sz val="18"/>
      <color theme="1"/>
      <name val="B Nazanin"/>
      <charset val="178"/>
    </font>
    <font>
      <sz val="20"/>
      <color theme="1"/>
      <name val="B Nazanin"/>
      <charset val="178"/>
    </font>
    <font>
      <sz val="10"/>
      <color theme="1"/>
      <name val="B Nazanin"/>
      <charset val="178"/>
    </font>
    <font>
      <sz val="12"/>
      <color rgb="FF0062AC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  <scheme val="minor"/>
    </font>
    <font>
      <sz val="11"/>
      <color rgb="FF000000"/>
      <name val="B Nazanin"/>
      <charset val="178"/>
      <scheme val="minor"/>
    </font>
    <font>
      <sz val="20"/>
      <color theme="1"/>
      <name val="B Nazanin"/>
      <charset val="178"/>
    </font>
    <font>
      <sz val="16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B Nazanin"/>
      <charset val="178"/>
      <scheme val="minor"/>
    </font>
    <font>
      <sz val="8"/>
      <color theme="1"/>
      <name val="B Nazanin"/>
      <charset val="178"/>
    </font>
    <font>
      <sz val="8"/>
      <color rgb="FF000000"/>
      <name val="B Nazanin"/>
      <charset val="178"/>
    </font>
    <font>
      <sz val="8"/>
      <color rgb="FF0062AC"/>
      <name val="B Nazanin"/>
      <charset val="17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B Nazanin"/>
      <family val="2"/>
      <charset val="178"/>
      <scheme val="minor"/>
    </font>
    <font>
      <b/>
      <sz val="13"/>
      <color rgb="FF0062AC"/>
      <name val="B Nazanin"/>
      <charset val="178"/>
    </font>
    <font>
      <b/>
      <sz val="11"/>
      <name val="B Nazanin"/>
      <charset val="178"/>
    </font>
    <font>
      <b/>
      <sz val="11"/>
      <name val="B Nazanin"/>
      <family val="2"/>
      <charset val="178"/>
    </font>
    <font>
      <b/>
      <sz val="12"/>
      <color rgb="FF0062AC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b/>
      <sz val="11"/>
      <color rgb="FF000000"/>
      <name val="B Nazanin"/>
      <charset val="178"/>
    </font>
    <font>
      <b/>
      <sz val="11"/>
      <color rgb="FF0062AC"/>
      <name val="B Nazanin"/>
      <charset val="178"/>
      <scheme val="minor"/>
    </font>
    <font>
      <b/>
      <sz val="11"/>
      <color rgb="FF000000"/>
      <name val="B Nazanin"/>
      <charset val="178"/>
      <scheme val="minor"/>
    </font>
    <font>
      <b/>
      <sz val="11"/>
      <name val="B Nazanin"/>
      <charset val="178"/>
      <scheme val="minor"/>
    </font>
    <font>
      <b/>
      <sz val="11"/>
      <name val="B Nazanin"/>
      <family val="2"/>
      <charset val="17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9" tint="0.79998168889431442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3">
    <xf numFmtId="0" fontId="0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readingOrder="2"/>
    </xf>
    <xf numFmtId="0" fontId="8" fillId="0" borderId="0" xfId="0" applyFont="1" applyAlignment="1">
      <alignment vertical="center" readingOrder="2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 readingOrder="2"/>
    </xf>
    <xf numFmtId="0" fontId="15" fillId="0" borderId="0" xfId="0" applyFont="1" applyAlignment="1">
      <alignment horizontal="right" vertical="center"/>
    </xf>
    <xf numFmtId="164" fontId="15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right" vertical="center" readingOrder="2"/>
    </xf>
    <xf numFmtId="0" fontId="15" fillId="0" borderId="0" xfId="0" applyFont="1" applyAlignment="1">
      <alignment horizontal="right" vertical="center" readingOrder="2"/>
    </xf>
    <xf numFmtId="0" fontId="6" fillId="0" borderId="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 readingOrder="1"/>
    </xf>
    <xf numFmtId="49" fontId="15" fillId="0" borderId="0" xfId="0" applyNumberFormat="1" applyFont="1" applyAlignment="1">
      <alignment horizontal="right" vertical="center" readingOrder="2"/>
    </xf>
    <xf numFmtId="165" fontId="17" fillId="0" borderId="0" xfId="0" applyNumberFormat="1" applyFont="1" applyAlignment="1">
      <alignment horizontal="center" vertical="center" readingOrder="2"/>
    </xf>
    <xf numFmtId="0" fontId="3" fillId="0" borderId="0" xfId="0" applyFont="1" applyAlignment="1">
      <alignment vertical="center"/>
    </xf>
    <xf numFmtId="165" fontId="16" fillId="0" borderId="0" xfId="0" applyNumberFormat="1" applyFont="1" applyAlignment="1">
      <alignment horizontal="center" vertical="center" readingOrder="2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1"/>
    </xf>
    <xf numFmtId="165" fontId="16" fillId="0" borderId="2" xfId="0" applyNumberFormat="1" applyFont="1" applyBorder="1" applyAlignment="1">
      <alignment horizontal="center" vertical="center" readingOrder="2"/>
    </xf>
    <xf numFmtId="0" fontId="9" fillId="0" borderId="1" xfId="0" applyFont="1" applyBorder="1" applyAlignment="1">
      <alignment vertical="center"/>
    </xf>
    <xf numFmtId="3" fontId="13" fillId="0" borderId="0" xfId="0" applyNumberFormat="1" applyFont="1" applyAlignment="1">
      <alignment horizontal="center" vertical="center" readingOrder="2"/>
    </xf>
    <xf numFmtId="3" fontId="13" fillId="0" borderId="1" xfId="0" applyNumberFormat="1" applyFont="1" applyBorder="1" applyAlignment="1">
      <alignment horizontal="center" vertical="center"/>
    </xf>
    <xf numFmtId="3" fontId="22" fillId="0" borderId="0" xfId="0" applyNumberFormat="1" applyFont="1" applyAlignment="1">
      <alignment horizontal="right" vertical="center"/>
    </xf>
    <xf numFmtId="3" fontId="22" fillId="0" borderId="0" xfId="0" applyNumberFormat="1" applyFont="1" applyAlignment="1">
      <alignment horizontal="center" vertical="center"/>
    </xf>
    <xf numFmtId="10" fontId="22" fillId="0" borderId="0" xfId="1" applyNumberFormat="1" applyFont="1" applyAlignment="1">
      <alignment horizontal="center" vertical="center"/>
    </xf>
    <xf numFmtId="3" fontId="22" fillId="3" borderId="8" xfId="0" applyNumberFormat="1" applyFont="1" applyFill="1" applyBorder="1" applyAlignment="1">
      <alignment horizontal="right" vertical="center"/>
    </xf>
    <xf numFmtId="3" fontId="22" fillId="3" borderId="8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0" fontId="13" fillId="0" borderId="3" xfId="0" applyFont="1" applyBorder="1" applyAlignment="1">
      <alignment horizontal="center" vertical="center"/>
    </xf>
    <xf numFmtId="3" fontId="22" fillId="3" borderId="2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0" fontId="22" fillId="3" borderId="2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 readingOrder="2"/>
    </xf>
    <xf numFmtId="0" fontId="13" fillId="0" borderId="1" xfId="0" applyFont="1" applyBorder="1" applyAlignment="1">
      <alignment horizontal="center" vertical="center" readingOrder="2"/>
    </xf>
    <xf numFmtId="0" fontId="13" fillId="0" borderId="6" xfId="0" applyFont="1" applyBorder="1" applyAlignment="1">
      <alignment horizontal="center" vertical="center" readingOrder="2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readingOrder="2"/>
    </xf>
    <xf numFmtId="0" fontId="13" fillId="0" borderId="5" xfId="0" applyFont="1" applyBorder="1" applyAlignment="1">
      <alignment horizontal="center" vertical="center" readingOrder="2"/>
    </xf>
    <xf numFmtId="0" fontId="22" fillId="0" borderId="0" xfId="0" applyFont="1" applyAlignment="1">
      <alignment horizontal="right" vertical="center"/>
    </xf>
    <xf numFmtId="3" fontId="22" fillId="3" borderId="2" xfId="0" applyNumberFormat="1" applyFont="1" applyFill="1" applyBorder="1" applyAlignment="1">
      <alignment horizontal="right" vertical="center"/>
    </xf>
    <xf numFmtId="9" fontId="22" fillId="3" borderId="2" xfId="1" applyFont="1" applyFill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 readingOrder="2"/>
    </xf>
    <xf numFmtId="4" fontId="13" fillId="0" borderId="1" xfId="0" applyNumberFormat="1" applyFont="1" applyBorder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 readingOrder="2"/>
    </xf>
    <xf numFmtId="0" fontId="2" fillId="0" borderId="1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0" fontId="22" fillId="3" borderId="8" xfId="0" applyFont="1" applyFill="1" applyBorder="1" applyAlignment="1">
      <alignment horizontal="right" vertical="center"/>
    </xf>
    <xf numFmtId="164" fontId="22" fillId="3" borderId="8" xfId="0" applyNumberFormat="1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right" vertical="center"/>
    </xf>
    <xf numFmtId="0" fontId="22" fillId="3" borderId="2" xfId="0" applyFont="1" applyFill="1" applyBorder="1" applyAlignment="1">
      <alignment horizontal="center" vertical="center"/>
    </xf>
    <xf numFmtId="164" fontId="22" fillId="3" borderId="2" xfId="0" applyNumberFormat="1" applyFont="1" applyFill="1" applyBorder="1" applyAlignment="1">
      <alignment horizontal="center" vertical="center"/>
    </xf>
    <xf numFmtId="0" fontId="23" fillId="0" borderId="12" xfId="0" applyFont="1" applyBorder="1" applyAlignment="1">
      <alignment horizontal="right" vertical="center"/>
    </xf>
    <xf numFmtId="164" fontId="23" fillId="0" borderId="13" xfId="0" applyNumberFormat="1" applyFont="1" applyBorder="1" applyAlignment="1">
      <alignment horizontal="center" vertical="center"/>
    </xf>
    <xf numFmtId="3" fontId="23" fillId="0" borderId="13" xfId="0" applyNumberFormat="1" applyFont="1" applyBorder="1" applyAlignment="1">
      <alignment horizontal="center" vertical="center"/>
    </xf>
    <xf numFmtId="0" fontId="23" fillId="3" borderId="2" xfId="0" applyFont="1" applyFill="1" applyBorder="1" applyAlignment="1">
      <alignment horizontal="right" vertical="center"/>
    </xf>
    <xf numFmtId="164" fontId="23" fillId="3" borderId="2" xfId="0" applyNumberFormat="1" applyFont="1" applyFill="1" applyBorder="1" applyAlignment="1">
      <alignment horizontal="center" vertical="center"/>
    </xf>
    <xf numFmtId="164" fontId="23" fillId="4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horizontal="right" vertical="center"/>
    </xf>
    <xf numFmtId="3" fontId="0" fillId="0" borderId="0" xfId="0" applyNumberFormat="1"/>
    <xf numFmtId="164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4" fillId="0" borderId="1" xfId="0" applyFont="1" applyBorder="1" applyAlignment="1">
      <alignment vertical="center"/>
    </xf>
    <xf numFmtId="0" fontId="29" fillId="0" borderId="1" xfId="0" applyFont="1" applyBorder="1" applyAlignment="1">
      <alignment horizontal="center" vertical="center" readingOrder="2"/>
    </xf>
    <xf numFmtId="0" fontId="29" fillId="0" borderId="3" xfId="0" applyFont="1" applyBorder="1" applyAlignment="1">
      <alignment horizontal="center" vertical="center" readingOrder="2"/>
    </xf>
    <xf numFmtId="0" fontId="30" fillId="0" borderId="0" xfId="0" applyFont="1" applyAlignment="1">
      <alignment horizontal="right" vertical="center"/>
    </xf>
    <xf numFmtId="164" fontId="30" fillId="0" borderId="0" xfId="0" applyNumberFormat="1" applyFont="1" applyAlignment="1">
      <alignment horizontal="center" vertical="center"/>
    </xf>
    <xf numFmtId="10" fontId="30" fillId="0" borderId="0" xfId="1" applyNumberFormat="1" applyFont="1" applyAlignment="1">
      <alignment horizontal="center" vertical="center"/>
    </xf>
    <xf numFmtId="0" fontId="30" fillId="3" borderId="8" xfId="0" applyFont="1" applyFill="1" applyBorder="1" applyAlignment="1">
      <alignment horizontal="right" vertical="center"/>
    </xf>
    <xf numFmtId="164" fontId="30" fillId="3" borderId="8" xfId="0" applyNumberFormat="1" applyFont="1" applyFill="1" applyBorder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0" fontId="29" fillId="0" borderId="1" xfId="0" applyFont="1" applyBorder="1" applyAlignment="1">
      <alignment horizontal="right" vertical="center" readingOrder="2"/>
    </xf>
    <xf numFmtId="164" fontId="30" fillId="0" borderId="1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30" fillId="5" borderId="0" xfId="0" applyFont="1" applyFill="1" applyAlignment="1">
      <alignment horizontal="center" vertical="center"/>
    </xf>
    <xf numFmtId="164" fontId="30" fillId="5" borderId="0" xfId="0" applyNumberFormat="1" applyFont="1" applyFill="1" applyAlignment="1">
      <alignment horizontal="center" vertical="center"/>
    </xf>
    <xf numFmtId="10" fontId="30" fillId="5" borderId="0" xfId="1" applyNumberFormat="1" applyFont="1" applyFill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164" fontId="30" fillId="4" borderId="0" xfId="0" applyNumberFormat="1" applyFont="1" applyFill="1" applyAlignment="1">
      <alignment horizontal="center" vertical="center"/>
    </xf>
    <xf numFmtId="10" fontId="30" fillId="4" borderId="0" xfId="1" applyNumberFormat="1" applyFont="1" applyFill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164" fontId="30" fillId="3" borderId="2" xfId="0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164" fontId="13" fillId="0" borderId="0" xfId="0" applyNumberFormat="1" applyFont="1" applyAlignment="1">
      <alignment horizontal="center" vertical="center"/>
    </xf>
    <xf numFmtId="3" fontId="22" fillId="3" borderId="0" xfId="0" applyNumberFormat="1" applyFont="1" applyFill="1" applyAlignment="1">
      <alignment horizontal="center" vertical="center"/>
    </xf>
    <xf numFmtId="9" fontId="30" fillId="3" borderId="8" xfId="1" applyFont="1" applyFill="1" applyBorder="1" applyAlignment="1">
      <alignment horizontal="center" vertical="center"/>
    </xf>
    <xf numFmtId="10" fontId="23" fillId="2" borderId="14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3" fontId="23" fillId="2" borderId="14" xfId="0" applyNumberFormat="1" applyFont="1" applyFill="1" applyBorder="1" applyAlignment="1">
      <alignment horizontal="right" vertical="center"/>
    </xf>
    <xf numFmtId="3" fontId="23" fillId="2" borderId="14" xfId="0" applyNumberFormat="1" applyFont="1" applyFill="1" applyBorder="1" applyAlignment="1">
      <alignment horizontal="center" vertical="center"/>
    </xf>
    <xf numFmtId="3" fontId="23" fillId="0" borderId="14" xfId="0" applyNumberFormat="1" applyFont="1" applyBorder="1" applyAlignment="1">
      <alignment horizontal="right" vertical="center"/>
    </xf>
    <xf numFmtId="3" fontId="23" fillId="0" borderId="14" xfId="0" applyNumberFormat="1" applyFont="1" applyBorder="1" applyAlignment="1">
      <alignment horizontal="center" vertical="center"/>
    </xf>
    <xf numFmtId="10" fontId="23" fillId="0" borderId="14" xfId="1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3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9" fontId="22" fillId="3" borderId="8" xfId="1" applyFont="1" applyFill="1" applyBorder="1" applyAlignment="1">
      <alignment horizontal="center" vertical="center"/>
    </xf>
    <xf numFmtId="9" fontId="22" fillId="0" borderId="0" xfId="1" applyFont="1" applyAlignment="1">
      <alignment horizontal="center" vertical="center"/>
    </xf>
    <xf numFmtId="164" fontId="22" fillId="4" borderId="0" xfId="0" applyNumberFormat="1" applyFont="1" applyFill="1" applyAlignment="1">
      <alignment horizontal="center" vertical="center"/>
    </xf>
    <xf numFmtId="0" fontId="23" fillId="2" borderId="9" xfId="0" applyFont="1" applyFill="1" applyBorder="1" applyAlignment="1">
      <alignment horizontal="right" vertical="center"/>
    </xf>
    <xf numFmtId="164" fontId="23" fillId="2" borderId="10" xfId="0" applyNumberFormat="1" applyFont="1" applyFill="1" applyBorder="1" applyAlignment="1">
      <alignment horizontal="center" vertical="center"/>
    </xf>
    <xf numFmtId="3" fontId="22" fillId="5" borderId="0" xfId="0" applyNumberFormat="1" applyFont="1" applyFill="1" applyAlignment="1">
      <alignment horizontal="center" vertical="center"/>
    </xf>
    <xf numFmtId="164" fontId="23" fillId="2" borderId="11" xfId="0" applyNumberFormat="1" applyFont="1" applyFill="1" applyBorder="1" applyAlignment="1">
      <alignment horizontal="center" vertical="center"/>
    </xf>
    <xf numFmtId="164" fontId="23" fillId="6" borderId="10" xfId="0" applyNumberFormat="1" applyFont="1" applyFill="1" applyBorder="1" applyAlignment="1">
      <alignment horizontal="center" vertical="center"/>
    </xf>
    <xf numFmtId="166" fontId="30" fillId="4" borderId="0" xfId="2" applyNumberFormat="1" applyFont="1" applyFill="1" applyAlignment="1">
      <alignment horizontal="center" vertical="center"/>
    </xf>
    <xf numFmtId="3" fontId="6" fillId="0" borderId="0" xfId="0" applyNumberFormat="1" applyFont="1"/>
    <xf numFmtId="3" fontId="22" fillId="5" borderId="0" xfId="0" applyNumberFormat="1" applyFont="1" applyFill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 readingOrder="2"/>
    </xf>
    <xf numFmtId="3" fontId="13" fillId="0" borderId="2" xfId="0" applyNumberFormat="1" applyFont="1" applyBorder="1" applyAlignment="1">
      <alignment horizontal="center" vertical="center" readingOrder="2"/>
    </xf>
    <xf numFmtId="0" fontId="21" fillId="0" borderId="0" xfId="0" applyFont="1" applyAlignment="1">
      <alignment horizontal="right" vertical="center" readingOrder="2"/>
    </xf>
    <xf numFmtId="9" fontId="13" fillId="0" borderId="2" xfId="1" applyFont="1" applyBorder="1" applyAlignment="1">
      <alignment horizontal="center" vertical="center" readingOrder="2"/>
    </xf>
    <xf numFmtId="9" fontId="13" fillId="0" borderId="1" xfId="1" applyFont="1" applyBorder="1" applyAlignment="1">
      <alignment horizontal="center" vertical="center" readingOrder="2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 readingOrder="2"/>
    </xf>
    <xf numFmtId="3" fontId="1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readingOrder="2"/>
    </xf>
    <xf numFmtId="0" fontId="24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center"/>
    </xf>
    <xf numFmtId="3" fontId="13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 readingOrder="2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readingOrder="2"/>
    </xf>
    <xf numFmtId="0" fontId="14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 vertical="center" readingOrder="2"/>
    </xf>
    <xf numFmtId="0" fontId="29" fillId="0" borderId="1" xfId="0" applyFont="1" applyBorder="1" applyAlignment="1">
      <alignment horizontal="center" vertical="center" readingOrder="2"/>
    </xf>
    <xf numFmtId="0" fontId="28" fillId="0" borderId="0" xfId="0" applyFont="1" applyAlignment="1">
      <alignment horizontal="right" vertical="center" readingOrder="2"/>
    </xf>
    <xf numFmtId="0" fontId="14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readingOrder="2"/>
    </xf>
    <xf numFmtId="0" fontId="14" fillId="0" borderId="2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29" fillId="0" borderId="3" xfId="0" applyFont="1" applyBorder="1" applyAlignment="1">
      <alignment horizontal="center" vertical="center" readingOrder="2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3" fontId="13" fillId="0" borderId="0" xfId="0" applyNumberFormat="1" applyFont="1" applyAlignment="1">
      <alignment vertical="center"/>
    </xf>
    <xf numFmtId="0" fontId="22" fillId="0" borderId="0" xfId="0" applyFont="1" applyFill="1" applyAlignment="1">
      <alignment horizontal="right" vertical="center"/>
    </xf>
    <xf numFmtId="164" fontId="22" fillId="0" borderId="0" xfId="0" applyNumberFormat="1" applyFont="1" applyFill="1" applyAlignment="1">
      <alignment horizontal="center" vertical="center"/>
    </xf>
    <xf numFmtId="3" fontId="22" fillId="0" borderId="0" xfId="0" applyNumberFormat="1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readingOrder="2"/>
    </xf>
    <xf numFmtId="0" fontId="29" fillId="0" borderId="0" xfId="0" applyFont="1" applyFill="1" applyAlignment="1">
      <alignment horizontal="center" vertical="center" readingOrder="2"/>
    </xf>
    <xf numFmtId="0" fontId="29" fillId="0" borderId="1" xfId="0" applyFont="1" applyFill="1" applyBorder="1" applyAlignment="1">
      <alignment horizontal="center" vertical="center" readingOrder="2"/>
    </xf>
  </cellXfs>
  <cellStyles count="3">
    <cellStyle name="Comma" xfId="2" builtinId="3"/>
    <cellStyle name="Normal" xfId="0" builtinId="0"/>
    <cellStyle name="Percent" xfId="1" builtinId="5"/>
  </cellStyles>
  <dxfs count="48">
    <dxf>
      <border outline="0">
        <bottom style="double">
          <color rgb="FF000000"/>
        </bottom>
      </border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4" formatCode="0.00%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4" formatCode="0.00%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2E2E2E"/>
        <name val="IranSansFaNum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border outline="0">
        <bottom style="double">
          <color indexed="64"/>
        </bottom>
      </border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3" formatCode="#,##0"/>
      <alignment horizontal="right" vertical="center" textRotation="0" wrapText="0" indent="0" justifyLastLine="0" shrinkToFit="0" readingOrder="0"/>
    </dxf>
    <dxf>
      <border outline="0">
        <bottom style="double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533400</xdr:colOff>
      <xdr:row>48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E0D175-6710-9BB1-541B-98FF5E185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3894500" y="0"/>
          <a:ext cx="7715250" cy="10525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200025</xdr:colOff>
      <xdr:row>0</xdr:row>
      <xdr:rowOff>66675</xdr:rowOff>
    </xdr:from>
    <xdr:to>
      <xdr:col>10</xdr:col>
      <xdr:colOff>1020798</xdr:colOff>
      <xdr:row>3</xdr:row>
      <xdr:rowOff>110177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304E59-D5A2-4E25-BE42-3059C7CFC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5075055" y="66675"/>
          <a:ext cx="1896020" cy="7864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666750</xdr:colOff>
      <xdr:row>0</xdr:row>
      <xdr:rowOff>152400</xdr:rowOff>
    </xdr:from>
    <xdr:to>
      <xdr:col>8</xdr:col>
      <xdr:colOff>712404</xdr:colOff>
      <xdr:row>3</xdr:row>
      <xdr:rowOff>195902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0528E2-7556-4426-B0F3-0EA2B634D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6265680" y="152400"/>
          <a:ext cx="1896020" cy="7864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774579</xdr:colOff>
      <xdr:row>0</xdr:row>
      <xdr:rowOff>8627</xdr:rowOff>
    </xdr:from>
    <xdr:to>
      <xdr:col>10</xdr:col>
      <xdr:colOff>1008936</xdr:colOff>
      <xdr:row>3</xdr:row>
      <xdr:rowOff>52129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C068C6-E7A7-44DB-971C-83D173044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7518823" y="8627"/>
          <a:ext cx="1887753" cy="79831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1383102</xdr:colOff>
      <xdr:row>0</xdr:row>
      <xdr:rowOff>39717</xdr:rowOff>
    </xdr:from>
    <xdr:to>
      <xdr:col>5</xdr:col>
      <xdr:colOff>1506213</xdr:colOff>
      <xdr:row>3</xdr:row>
      <xdr:rowOff>83219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537CD9-06B5-4198-BF99-CE9E6EA9C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0705744" y="39717"/>
          <a:ext cx="1893324" cy="79831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525527</xdr:colOff>
      <xdr:row>0</xdr:row>
      <xdr:rowOff>28575</xdr:rowOff>
    </xdr:from>
    <xdr:to>
      <xdr:col>2</xdr:col>
      <xdr:colOff>1972220</xdr:colOff>
      <xdr:row>2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DF94C0-2EF6-4C6E-BD41-A52D5ECE5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9885180" y="28575"/>
          <a:ext cx="1446693" cy="600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95250</xdr:rowOff>
    </xdr:from>
    <xdr:to>
      <xdr:col>12</xdr:col>
      <xdr:colOff>1068423</xdr:colOff>
      <xdr:row>3</xdr:row>
      <xdr:rowOff>138752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E8E406-7282-9310-6104-D130675F1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4360680" y="95250"/>
          <a:ext cx="1896020" cy="7864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489697</xdr:colOff>
      <xdr:row>0</xdr:row>
      <xdr:rowOff>101413</xdr:rowOff>
    </xdr:from>
    <xdr:to>
      <xdr:col>13</xdr:col>
      <xdr:colOff>245328</xdr:colOff>
      <xdr:row>3</xdr:row>
      <xdr:rowOff>99626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F7AAB0-E7C1-445C-85D9-01D98E403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5878911" y="101413"/>
          <a:ext cx="1894980" cy="8050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278561</xdr:colOff>
      <xdr:row>0</xdr:row>
      <xdr:rowOff>62901</xdr:rowOff>
    </xdr:from>
    <xdr:to>
      <xdr:col>4</xdr:col>
      <xdr:colOff>1123237</xdr:colOff>
      <xdr:row>3</xdr:row>
      <xdr:rowOff>94542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6C0C18-5EEB-477D-A2BB-8D943D345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4710018" y="62901"/>
          <a:ext cx="1896020" cy="7864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0</xdr:row>
      <xdr:rowOff>19050</xdr:rowOff>
    </xdr:from>
    <xdr:to>
      <xdr:col>5</xdr:col>
      <xdr:colOff>972094</xdr:colOff>
      <xdr:row>3</xdr:row>
      <xdr:rowOff>5402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C5A241-0A6D-41CD-BA84-F5DB1F6C2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5684655" y="19050"/>
          <a:ext cx="1896020" cy="7864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876510</xdr:colOff>
      <xdr:row>0</xdr:row>
      <xdr:rowOff>53915</xdr:rowOff>
    </xdr:from>
    <xdr:to>
      <xdr:col>6</xdr:col>
      <xdr:colOff>925549</xdr:colOff>
      <xdr:row>3</xdr:row>
      <xdr:rowOff>8986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95138D-DB04-40A7-BD56-A6FE05444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9848673" y="53915"/>
          <a:ext cx="1711421" cy="7098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997429</xdr:colOff>
      <xdr:row>0</xdr:row>
      <xdr:rowOff>44930</xdr:rowOff>
    </xdr:from>
    <xdr:to>
      <xdr:col>9</xdr:col>
      <xdr:colOff>1033378</xdr:colOff>
      <xdr:row>3</xdr:row>
      <xdr:rowOff>76571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328F21-370D-4031-A025-9D781DDE7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8824287" y="44930"/>
          <a:ext cx="1896020" cy="7864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666750</xdr:colOff>
      <xdr:row>0</xdr:row>
      <xdr:rowOff>123825</xdr:rowOff>
    </xdr:from>
    <xdr:to>
      <xdr:col>8</xdr:col>
      <xdr:colOff>1429295</xdr:colOff>
      <xdr:row>3</xdr:row>
      <xdr:rowOff>167327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DC9A93-ECC3-4E00-B320-C0B57F3F5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6303780" y="123825"/>
          <a:ext cx="1896020" cy="7864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857250</xdr:colOff>
      <xdr:row>0</xdr:row>
      <xdr:rowOff>180975</xdr:rowOff>
    </xdr:from>
    <xdr:to>
      <xdr:col>8</xdr:col>
      <xdr:colOff>1554198</xdr:colOff>
      <xdr:row>3</xdr:row>
      <xdr:rowOff>224477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A164C5-1858-4256-9D77-504BE73CA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6475230" y="180975"/>
          <a:ext cx="1896020" cy="78645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0:M47" headerRowCount="0">
  <tableColumns count="13">
    <tableColumn id="1" xr3:uid="{00000000-0010-0000-0000-000001000000}" name="پتروشیمی نوری (نوری)"/>
    <tableColumn id="2" xr3:uid="{00000000-0010-0000-0000-000002000000}" name="405051"/>
    <tableColumn id="3" xr3:uid="{00000000-0010-0000-0000-000003000000}" name="15035407233.0000"/>
    <tableColumn id="4" xr3:uid="{00000000-0010-0000-0000-000004000000}" name="16748004561.0000"/>
    <tableColumn id="5" xr3:uid="{00000000-0010-0000-0000-000005000000}" name="0"/>
    <tableColumn id="6" xr3:uid="{00000000-0010-0000-0000-000006000000}" name="Column6"/>
    <tableColumn id="7" xr3:uid="{00000000-0010-0000-0000-000007000000}" name="205051"/>
    <tableColumn id="8" xr3:uid="{00000000-0010-0000-0000-000008000000}" name="9855161631.0000"/>
    <tableColumn id="9" xr3:uid="{00000000-0010-0000-0000-000009000000}" name="200000"/>
    <tableColumn id="10" xr3:uid="{00000000-0010-0000-0000-00000A000000}" name="51340.0000"/>
    <tableColumn id="11" xr3:uid="{00000000-0010-0000-0000-00000B000000}" name="7423957592.0000"/>
    <tableColumn id="12" xr3:uid="{00000000-0010-0000-0000-00000C000000}" name="10188628360.0000"/>
    <tableColumn id="13" xr3:uid="{00000000-0010-0000-0000-00000D000000}" name="1.74">
      <calculatedColumnFormula>Table1[[#This Row],[10188628360.0000]]/$O$9</calculatedColumnFormula>
    </tableColumn>
  </tableColumns>
  <tableStyleInfo name="TableStyleLight2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A3BFEF6-32A7-4BA3-979F-C4EBA6614E97}" name="Table146" displayName="Table146" ref="A9:J10" headerRowCount="0" tableBorderDxfId="0">
  <tableColumns count="10">
    <tableColumn id="1" xr3:uid="{A52AA46F-372F-498C-ABCD-4E9B82BB70D1}" name="اسناد خزانه-م1-س.قوا03-060615 (اخزا301)"/>
    <tableColumn id="2" xr3:uid="{32D5F7F2-4974-4DF0-B355-43F787C3F73F}" name="0"/>
    <tableColumn id="3" xr3:uid="{415C27D8-75D4-495D-9DDD-F423E33CE23A}" name="-967085062.0000"/>
    <tableColumn id="4" xr3:uid="{770168F3-B88E-4ED0-9C0B-1DA37F531B17}" name="903385103.0000"/>
    <tableColumn id="10" xr3:uid="{824DA113-D92E-4815-A9CE-7E44130BA4D3}" name="Column1"/>
    <tableColumn id="5" xr3:uid="{981924AB-D5AA-4AC8-B8C7-A92FF2863B20}" name="-63699959.0000"/>
    <tableColumn id="6" xr3:uid="{20A263D4-D5F9-4749-AECF-8E516C3E5363}" name="Column6"/>
    <tableColumn id="7" xr3:uid="{AEC0118B-5546-43DD-B65B-C26E978C9408}" name="Column7"/>
    <tableColumn id="8" xr3:uid="{DE77BBAF-06FD-4261-8FEF-12DED082B2B4}" name="Column8"/>
    <tableColumn id="9" xr3:uid="{2A5446BF-E046-48BC-AC50-684FC7DA8F9F}" name="Column9"/>
  </tableColumns>
  <tableStyleInfo name="TableStyleLight2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16" displayName="Table16" ref="A8:F10" headerRowCount="0">
  <tableColumns count="6">
    <tableColumn id="1" xr3:uid="{00000000-0010-0000-0F00-000001000000}" name="پارسیان 40109769147601"/>
    <tableColumn id="2" xr3:uid="{00000000-0010-0000-0F00-000002000000}" name="40109769147601"/>
    <tableColumn id="3" xr3:uid="{00000000-0010-0000-0F00-000003000000}" name="320671233.0000"/>
    <tableColumn id="4" xr3:uid="{00000000-0010-0000-0F00-000004000000}" name="2.20"/>
    <tableColumn id="5" xr3:uid="{00000000-0010-0000-0F00-000005000000}" name="962177206.0000"/>
    <tableColumn id="6" xr3:uid="{00000000-0010-0000-0F00-000006000000}" name="6.62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17" displayName="Table17" ref="A8:C10" headerRowCount="0">
  <tableColumns count="3">
    <tableColumn id="1" xr3:uid="{00000000-0010-0000-1000-000001000000}" name="سایر درآمدها"/>
    <tableColumn id="2" xr3:uid="{00000000-0010-0000-1000-000002000000}" name="26607697.0000"/>
    <tableColumn id="3" xr3:uid="{00000000-0010-0000-1000-000003000000}" name="180233177.0000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A7:E12" headerRowCount="0" tableBorderDxfId="47">
  <tableColumns count="5">
    <tableColumn id="1" xr3:uid="{00000000-0010-0000-0700-000001000000}" name="درآمد حاصل از سرمایه­گذاری در سهام و حق تقدم سهام" dataDxfId="46"/>
    <tableColumn id="2" xr3:uid="{00000000-0010-0000-0700-000002000000}" name="1-2" dataDxfId="45"/>
    <tableColumn id="3" xr3:uid="{00000000-0010-0000-0700-000003000000}" name="156623473092.0000" dataDxfId="44"/>
    <tableColumn id="4" xr3:uid="{00000000-0010-0000-0700-000004000000}" name="97.48" dataDxfId="43" dataCellStyle="Percent"/>
    <tableColumn id="5" xr3:uid="{00000000-0010-0000-0700-000005000000}" name="26.68" dataDxfId="42" dataCellStyle="Percent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8:F11" headerRowCount="0" dataDxfId="41">
  <tableColumns count="6">
    <tableColumn id="1" xr3:uid="{00000000-0010-0000-0600-000001000000}" name="پارسیان 40109885570600 " dataDxfId="40"/>
    <tableColumn id="6" xr3:uid="{00000000-0010-0000-0600-000006000000}" name="18500000000.0000" dataDxfId="39"/>
    <tableColumn id="7" xr3:uid="{00000000-0010-0000-0600-000007000000}" name="0.0000" dataDxfId="38"/>
    <tableColumn id="8" xr3:uid="{00000000-0010-0000-0600-000008000000}" name="6250000000.0000" dataDxfId="37"/>
    <tableColumn id="9" xr3:uid="{00000000-0010-0000-0600-000009000000}" name="12250000000.0000" dataDxfId="36"/>
    <tableColumn id="10" xr3:uid="{00000000-0010-0000-0600-00000A000000}" name="2.09" dataDxfId="35" dataCellStyle="Percent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1" displayName="Table11" ref="A7:G9" headerRowCount="0" tableBorderDxfId="34">
  <tableColumns count="7">
    <tableColumn id="1" xr3:uid="{00000000-0010-0000-0A00-000001000000}" name="پارسیان 40109769147601"/>
    <tableColumn id="2" xr3:uid="{00000000-0010-0000-0A00-000002000000}" name="320671233.0000"/>
    <tableColumn id="3" xr3:uid="{00000000-0010-0000-0A00-000003000000}" name="0.0000"/>
    <tableColumn id="4" xr3:uid="{00000000-0010-0000-0A00-000004000000}" name="Column4"/>
    <tableColumn id="5" xr3:uid="{00000000-0010-0000-0A00-000005000000}" name="962013699.0000"/>
    <tableColumn id="6" xr3:uid="{00000000-0010-0000-0A00-000006000000}" name="163507.0000"/>
    <tableColumn id="7" xr3:uid="{00000000-0010-0000-0A00-000007000000}" name="962177206.0000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9" displayName="Table9" ref="A7:J13" headerRowCount="0" tableBorderDxfId="33">
  <tableColumns count="10">
    <tableColumn id="1" xr3:uid="{00000000-0010-0000-0800-000001000000}" name="گروه مپنا (رمپنا)"/>
    <tableColumn id="2" xr3:uid="{00000000-0010-0000-0800-000002000000}" name="1404/07/20"/>
    <tableColumn id="3" xr3:uid="{00000000-0010-0000-0800-000003000000}" name="602800.0000"/>
    <tableColumn id="4" xr3:uid="{00000000-0010-0000-0800-000004000000}" name="620.0000"/>
    <tableColumn id="5" xr3:uid="{00000000-0010-0000-0800-000005000000}" name="0.0000"/>
    <tableColumn id="6" xr3:uid="{00000000-0010-0000-0800-000006000000}" name="7039493.0000"/>
    <tableColumn id="7" xr3:uid="{00000000-0010-0000-0800-000007000000}" name="Column7"/>
    <tableColumn id="8" xr3:uid="{00000000-0010-0000-0800-000008000000}" name="373736000.0000"/>
    <tableColumn id="9" xr3:uid="{00000000-0010-0000-0800-000009000000}" name="-12375364.0000"/>
    <tableColumn id="10" xr3:uid="{00000000-0010-0000-0800-00000A000000}" name="361360636.0000"/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A7:I154" headerRowCount="0">
  <tableColumns count="9">
    <tableColumn id="1" xr3:uid="{00000000-0010-0000-0B00-000001000000}" name="آلومینای ایران (آلومینا)"/>
    <tableColumn id="2" xr3:uid="{00000000-0010-0000-0B00-000002000000}" name="16774"/>
    <tableColumn id="3" xr3:uid="{00000000-0010-0000-0B00-000003000000}" name="2241775012.0000"/>
    <tableColumn id="4" xr3:uid="{00000000-0010-0000-0B00-000004000000}" name="-1852333773.0000"/>
    <tableColumn id="5" xr3:uid="{00000000-0010-0000-0B00-000005000000}" name="389441239.0000">
      <calculatedColumnFormula>Table12[[#This Row],[2241775012.0000]]+Table12[[#This Row],[-1852333773.0000]]</calculatedColumnFormula>
    </tableColumn>
    <tableColumn id="6" xr3:uid="{00000000-0010-0000-0B00-000006000000}" name="Column6"/>
    <tableColumn id="7" xr3:uid="{00000000-0010-0000-0B00-000007000000}" name="Column7"/>
    <tableColumn id="8" xr3:uid="{00000000-0010-0000-0B00-000008000000}" name="Column8"/>
    <tableColumn id="9" xr3:uid="{00000000-0010-0000-0B00-000009000000}" name="Column9">
      <calculatedColumnFormula>Table12[[#This Row],[Column7]]+Table12[[#This Row],[Column8]]</calculatedColumnFormula>
    </tableColumn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13" displayName="Table13" ref="A7:I86" headerRowCount="0" totalsRowShown="0" dataDxfId="32">
  <tableColumns count="9">
    <tableColumn id="1" xr3:uid="{00000000-0010-0000-0C00-000001000000}" name="پتروشیمی نوری (نوری)" dataDxfId="31" totalsRowDxfId="30"/>
    <tableColumn id="2" xr3:uid="{00000000-0010-0000-0C00-000002000000}" name="200000" dataDxfId="29" totalsRowDxfId="28"/>
    <tableColumn id="3" xr3:uid="{00000000-0010-0000-0C00-000003000000}" name="10188628360.0000" dataDxfId="27" totalsRowDxfId="26"/>
    <tableColumn id="4" xr3:uid="{00000000-0010-0000-0C00-000004000000}" name="-9136554920.0000" dataDxfId="25" totalsRowDxfId="24"/>
    <tableColumn id="5" xr3:uid="{00000000-0010-0000-0C00-000005000000}" name="1052073440.0000" dataDxfId="23" totalsRowDxfId="22"/>
    <tableColumn id="6" xr3:uid="{00000000-0010-0000-0C00-000006000000}" name="Column6" dataDxfId="21" totalsRowDxfId="20"/>
    <tableColumn id="7" xr3:uid="{00000000-0010-0000-0C00-000007000000}" name="Column7" dataDxfId="19" totalsRowDxfId="18"/>
    <tableColumn id="8" xr3:uid="{00000000-0010-0000-0C00-000008000000}" name="-7423957592.0000" dataDxfId="17" totalsRowDxfId="16"/>
    <tableColumn id="9" xr3:uid="{00000000-0010-0000-0C00-000009000000}" name="2764670768.0000" dataDxfId="15" totalsRowDxfId="14">
      <calculatedColumnFormula>Table13[[#This Row],[-7423957592.0000]]+Table13[[#This Row],[Column7]]</calculatedColumnFormula>
    </tableColumn>
  </tableColumns>
  <tableStyleInfo name="TableStyleLight2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5" displayName="Table15" ref="A11:K171" headerRowCount="0" dataDxfId="13">
  <tableColumns count="11">
    <tableColumn id="1" xr3:uid="{00000000-0010-0000-0E00-000001000000}" name="پتروشیمی نوری (نوری)" dataDxfId="12"/>
    <tableColumn id="2" xr3:uid="{00000000-0010-0000-0E00-000002000000}" name="0" dataDxfId="11"/>
    <tableColumn id="3" xr3:uid="{00000000-0010-0000-0E00-000003000000}" name="1052073440.0000" dataDxfId="10"/>
    <tableColumn id="4" xr3:uid="{00000000-0010-0000-0E00-000004000000}" name="2243711990.0000" dataDxfId="9"/>
    <tableColumn id="5" xr3:uid="{00000000-0010-0000-0E00-000005000000}" name="3295785430.0000" dataDxfId="8">
      <calculatedColumnFormula>Table15[[#This Row],[0]]+Table15[[#This Row],[1052073440.0000]]+Table15[[#This Row],[2243711990.0000]]</calculatedColumnFormula>
    </tableColumn>
    <tableColumn id="6" xr3:uid="{00000000-0010-0000-0E00-000006000000}" name="3.51" dataDxfId="7" dataCellStyle="Percent">
      <calculatedColumnFormula>Table15[[#This Row],[3295785430.0000]]/درآمدها!$C$12</calculatedColumnFormula>
    </tableColumn>
    <tableColumn id="7" xr3:uid="{00000000-0010-0000-0E00-000007000000}" name="Column7" dataDxfId="6"/>
    <tableColumn id="8" xr3:uid="{00000000-0010-0000-0E00-000008000000}" name="2764670768.0000" dataDxfId="5"/>
    <tableColumn id="9" xr3:uid="{00000000-0010-0000-0E00-000009000000}" name="Column9" dataDxfId="4"/>
    <tableColumn id="10" xr3:uid="{00000000-0010-0000-0E00-00000A000000}" name="5008382758.0000" dataDxfId="3">
      <calculatedColumnFormula>Table15[[#This Row],[2764670768.0000]]+Table15[[#This Row],[Column9]]+Table15[[#This Row],[Column7]]</calculatedColumnFormula>
    </tableColumn>
    <tableColumn id="11" xr3:uid="{00000000-0010-0000-0E00-00000B000000}" name="3.12" dataDxfId="2" dataCellStyle="Percent">
      <calculatedColumnFormula>Table15[[#This Row],[5008382758.0000]]/درآمدها!$C$12</calculatedColumnFormula>
    </tableColumn>
  </tableColumns>
  <tableStyleInfo name="TableStyleLight2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4" displayName="Table14" ref="A9:I10" headerRowCount="0" tableBorderDxfId="1">
  <tableColumns count="9">
    <tableColumn id="1" xr3:uid="{00000000-0010-0000-0D00-000001000000}" name="اسناد خزانه-م1-س.قوا03-060615 (اخزا301)"/>
    <tableColumn id="2" xr3:uid="{00000000-0010-0000-0D00-000002000000}" name="0"/>
    <tableColumn id="3" xr3:uid="{00000000-0010-0000-0D00-000003000000}" name="-967085062.0000"/>
    <tableColumn id="4" xr3:uid="{00000000-0010-0000-0D00-000004000000}" name="903385103.0000"/>
    <tableColumn id="5" xr3:uid="{00000000-0010-0000-0D00-000005000000}" name="-63699959.0000"/>
    <tableColumn id="6" xr3:uid="{00000000-0010-0000-0D00-000006000000}" name="Column6"/>
    <tableColumn id="7" xr3:uid="{00000000-0010-0000-0D00-000007000000}" name="Column7"/>
    <tableColumn id="8" xr3:uid="{00000000-0010-0000-0D00-000008000000}" name="Column8"/>
    <tableColumn id="9" xr3:uid="{00000000-0010-0000-0D00-000009000000}" name="Column9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B Nazanin"/>
        <a:ea typeface=""/>
        <a:cs typeface=""/>
      </a:majorFont>
      <a:minorFont>
        <a:latin typeface="B Nazani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39"/>
  <sheetViews>
    <sheetView rightToLeft="1" tabSelected="1" view="pageBreakPreview" zoomScaleNormal="100" zoomScaleSheetLayoutView="100" workbookViewId="0">
      <selection activeCell="N1" sqref="N1"/>
    </sheetView>
  </sheetViews>
  <sheetFormatPr defaultColWidth="9" defaultRowHeight="18" x14ac:dyDescent="0.45"/>
  <cols>
    <col min="1" max="1" width="8.7109375" style="1" customWidth="1"/>
    <col min="2" max="16384" width="9" style="1"/>
  </cols>
  <sheetData>
    <row r="3" spans="1:17" ht="27.75" x14ac:dyDescent="0.65">
      <c r="D3" s="136"/>
      <c r="E3" s="137"/>
      <c r="F3" s="137"/>
    </row>
    <row r="6" spans="1:17" ht="15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" customHeight="1" x14ac:dyDescent="0.4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5" customHeight="1" x14ac:dyDescent="0.45">
      <c r="A8" s="3"/>
      <c r="B8" s="3"/>
      <c r="C8" s="3"/>
      <c r="D8" s="3"/>
      <c r="E8" s="3"/>
      <c r="F8" s="3"/>
      <c r="G8" s="3"/>
      <c r="H8" s="3"/>
      <c r="I8" s="3"/>
      <c r="J8" s="2"/>
      <c r="K8" s="2"/>
      <c r="L8" s="2"/>
      <c r="M8" s="2"/>
      <c r="N8" s="2"/>
      <c r="O8" s="2"/>
      <c r="P8" s="2"/>
      <c r="Q8" s="2"/>
    </row>
    <row r="9" spans="1:17" ht="15" customHeight="1" x14ac:dyDescent="0.45">
      <c r="A9" s="3"/>
      <c r="B9" s="3"/>
      <c r="C9" s="3"/>
      <c r="D9" s="3"/>
      <c r="E9" s="3"/>
      <c r="F9" s="3"/>
      <c r="G9" s="3"/>
      <c r="H9" s="3"/>
      <c r="I9" s="3"/>
      <c r="J9" s="2"/>
      <c r="K9" s="2"/>
      <c r="L9" s="2"/>
      <c r="M9" s="2"/>
      <c r="N9" s="2"/>
      <c r="O9" s="2"/>
      <c r="P9" s="2"/>
      <c r="Q9" s="2"/>
    </row>
    <row r="10" spans="1:17" ht="15" customHeight="1" x14ac:dyDescent="0.45">
      <c r="A10" s="3"/>
      <c r="B10" s="3"/>
      <c r="C10" s="3"/>
      <c r="D10" s="3"/>
      <c r="E10" s="3"/>
      <c r="F10" s="3"/>
      <c r="G10" s="3"/>
      <c r="H10" s="3"/>
      <c r="I10" s="3"/>
      <c r="J10" s="2"/>
      <c r="K10" s="2"/>
      <c r="L10" s="2"/>
      <c r="M10" s="2"/>
      <c r="N10" s="2"/>
      <c r="O10" s="2"/>
      <c r="P10" s="2"/>
      <c r="Q10" s="2"/>
    </row>
    <row r="11" spans="1:17" ht="15" customHeight="1" x14ac:dyDescent="0.45">
      <c r="A11" s="3"/>
      <c r="B11" s="3"/>
      <c r="C11" s="3"/>
      <c r="D11" s="3"/>
      <c r="E11" s="3"/>
      <c r="F11" s="3"/>
      <c r="G11" s="3"/>
      <c r="H11" s="3"/>
      <c r="I11" s="3"/>
      <c r="J11" s="2"/>
      <c r="K11" s="2"/>
      <c r="L11" s="2"/>
      <c r="M11" s="2"/>
      <c r="N11" s="2"/>
      <c r="O11" s="2"/>
      <c r="P11" s="2"/>
      <c r="Q11" s="2"/>
    </row>
    <row r="12" spans="1:17" ht="15" customHeight="1" x14ac:dyDescent="0.45">
      <c r="A12" s="3"/>
      <c r="B12" s="3"/>
      <c r="C12" s="3"/>
      <c r="D12" s="3"/>
      <c r="E12" s="3"/>
      <c r="F12" s="3"/>
      <c r="G12" s="3"/>
      <c r="H12" s="3"/>
      <c r="I12" s="3"/>
      <c r="J12" s="2"/>
      <c r="K12" s="2"/>
      <c r="L12" s="2"/>
      <c r="M12" s="2"/>
      <c r="N12" s="2"/>
      <c r="O12" s="2"/>
      <c r="P12" s="2"/>
      <c r="Q12" s="2"/>
    </row>
    <row r="13" spans="1:17" ht="15" customHeight="1" x14ac:dyDescent="0.45">
      <c r="A13" s="3"/>
      <c r="B13" s="3"/>
      <c r="C13" s="3"/>
      <c r="D13" s="3"/>
      <c r="E13" s="3"/>
      <c r="F13" s="3"/>
      <c r="G13" s="3"/>
      <c r="H13" s="3"/>
      <c r="I13" s="3"/>
      <c r="J13" s="2"/>
      <c r="K13" s="2"/>
      <c r="L13" s="2"/>
      <c r="M13" s="2"/>
      <c r="N13" s="2"/>
      <c r="O13" s="2"/>
      <c r="P13" s="2"/>
      <c r="Q13" s="2"/>
    </row>
    <row r="14" spans="1:17" ht="15" customHeight="1" x14ac:dyDescent="0.45">
      <c r="A14" s="3"/>
      <c r="B14" s="3"/>
      <c r="C14" s="3"/>
      <c r="D14" s="3"/>
      <c r="E14" s="3"/>
      <c r="F14" s="3"/>
      <c r="G14" s="3"/>
      <c r="H14" s="3"/>
      <c r="I14" s="3"/>
      <c r="J14" s="2"/>
      <c r="K14" s="2"/>
      <c r="L14" s="2"/>
      <c r="M14" s="2"/>
      <c r="N14" s="2"/>
      <c r="O14" s="2"/>
      <c r="P14" s="2"/>
      <c r="Q14" s="2"/>
    </row>
    <row r="15" spans="1:17" ht="15" customHeight="1" x14ac:dyDescent="0.45">
      <c r="A15" s="132"/>
      <c r="B15" s="133"/>
      <c r="C15" s="133"/>
      <c r="D15" s="133"/>
      <c r="E15" s="133"/>
      <c r="F15" s="133"/>
      <c r="G15" s="133"/>
      <c r="H15" s="133"/>
      <c r="I15" s="133"/>
      <c r="J15" s="2"/>
      <c r="K15" s="2"/>
      <c r="L15" s="2"/>
      <c r="M15" s="2"/>
      <c r="N15" s="2"/>
      <c r="O15" s="2"/>
      <c r="P15" s="2"/>
      <c r="Q15" s="2"/>
    </row>
    <row r="16" spans="1:17" ht="15" customHeight="1" x14ac:dyDescent="0.45">
      <c r="A16" s="133"/>
      <c r="B16" s="133"/>
      <c r="C16" s="133"/>
      <c r="D16" s="133"/>
      <c r="E16" s="133"/>
      <c r="F16" s="133"/>
      <c r="G16" s="133"/>
      <c r="H16" s="133"/>
      <c r="I16" s="133"/>
    </row>
    <row r="17" spans="1:9" ht="15" customHeight="1" x14ac:dyDescent="0.45">
      <c r="A17" s="134"/>
      <c r="B17" s="135"/>
      <c r="C17" s="135"/>
      <c r="D17" s="135"/>
      <c r="E17" s="135"/>
      <c r="F17" s="135"/>
      <c r="G17" s="135"/>
      <c r="H17" s="135"/>
      <c r="I17" s="135"/>
    </row>
    <row r="18" spans="1:9" ht="15" customHeight="1" x14ac:dyDescent="0.45">
      <c r="A18" s="135"/>
      <c r="B18" s="135"/>
      <c r="C18" s="135"/>
      <c r="D18" s="135"/>
      <c r="E18" s="135"/>
      <c r="F18" s="135"/>
      <c r="G18" s="135"/>
      <c r="H18" s="135"/>
      <c r="I18" s="135"/>
    </row>
    <row r="19" spans="1:9" ht="15" customHeight="1" x14ac:dyDescent="0.45">
      <c r="A19" s="135"/>
      <c r="B19" s="135"/>
      <c r="C19" s="135"/>
      <c r="D19" s="135"/>
      <c r="E19" s="135"/>
      <c r="F19" s="135"/>
      <c r="G19" s="135"/>
      <c r="H19" s="135"/>
      <c r="I19" s="135"/>
    </row>
    <row r="20" spans="1:9" ht="15" customHeight="1" x14ac:dyDescent="0.45">
      <c r="A20" s="134"/>
      <c r="B20" s="135"/>
      <c r="C20" s="135"/>
      <c r="D20" s="135"/>
      <c r="E20" s="135"/>
      <c r="F20" s="135"/>
      <c r="G20" s="135"/>
      <c r="H20" s="135"/>
      <c r="I20" s="135"/>
    </row>
    <row r="21" spans="1:9" ht="15" customHeight="1" x14ac:dyDescent="0.45">
      <c r="A21" s="135"/>
      <c r="B21" s="135"/>
      <c r="C21" s="135"/>
      <c r="D21" s="135"/>
      <c r="E21" s="135"/>
      <c r="F21" s="135"/>
      <c r="G21" s="135"/>
      <c r="H21" s="135"/>
      <c r="I21" s="135"/>
    </row>
    <row r="22" spans="1:9" ht="15" customHeight="1" x14ac:dyDescent="0.45">
      <c r="A22" s="135"/>
      <c r="B22" s="135"/>
      <c r="C22" s="135"/>
      <c r="D22" s="135"/>
      <c r="E22" s="135"/>
      <c r="F22" s="135"/>
      <c r="G22" s="135"/>
      <c r="H22" s="135"/>
      <c r="I22" s="135"/>
    </row>
    <row r="23" spans="1:9" ht="15" customHeight="1" x14ac:dyDescent="0.45">
      <c r="A23" s="135"/>
      <c r="B23" s="135"/>
      <c r="C23" s="135"/>
      <c r="D23" s="135"/>
      <c r="E23" s="135"/>
      <c r="F23" s="135"/>
      <c r="G23" s="135"/>
      <c r="H23" s="135"/>
      <c r="I23" s="135"/>
    </row>
    <row r="24" spans="1:9" ht="15" customHeight="1" x14ac:dyDescent="0.45">
      <c r="A24" s="3"/>
      <c r="B24" s="3"/>
      <c r="C24" s="3"/>
      <c r="D24" s="3"/>
      <c r="E24" s="3"/>
      <c r="F24" s="3"/>
      <c r="G24" s="3"/>
      <c r="H24" s="3"/>
      <c r="I24" s="3"/>
    </row>
    <row r="37" spans="6:8" x14ac:dyDescent="0.45">
      <c r="F37" s="130"/>
      <c r="G37" s="131"/>
      <c r="H37" s="131"/>
    </row>
    <row r="38" spans="6:8" x14ac:dyDescent="0.45">
      <c r="F38" s="131"/>
      <c r="G38" s="131"/>
      <c r="H38" s="131"/>
    </row>
    <row r="39" spans="6:8" x14ac:dyDescent="0.45">
      <c r="F39" s="131"/>
      <c r="G39" s="131"/>
      <c r="H39" s="131"/>
    </row>
  </sheetData>
  <mergeCells count="5">
    <mergeCell ref="F37:H39"/>
    <mergeCell ref="A15:I16"/>
    <mergeCell ref="A17:I19"/>
    <mergeCell ref="A20:I23"/>
    <mergeCell ref="D3:F3"/>
  </mergeCells>
  <pageMargins left="0.7" right="0.7" top="0.75" bottom="0.75" header="0.3" footer="0.3"/>
  <pageSetup scale="81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77"/>
  <sheetViews>
    <sheetView rightToLeft="1" view="pageBreakPreview" zoomScale="106" zoomScaleNormal="100" zoomScaleSheetLayoutView="106" workbookViewId="0">
      <pane ySplit="10" topLeftCell="A11" activePane="bottomLeft" state="frozen"/>
      <selection pane="bottomLeft" activeCell="G171" sqref="G171"/>
    </sheetView>
  </sheetViews>
  <sheetFormatPr defaultColWidth="9" defaultRowHeight="18" x14ac:dyDescent="0.45"/>
  <cols>
    <col min="1" max="1" width="38" style="9" bestFit="1" customWidth="1"/>
    <col min="2" max="2" width="13.85546875" style="9" bestFit="1" customWidth="1"/>
    <col min="3" max="3" width="17" style="9" bestFit="1" customWidth="1"/>
    <col min="4" max="4" width="16" style="9" bestFit="1" customWidth="1"/>
    <col min="5" max="5" width="16.5703125" style="9" bestFit="1" customWidth="1"/>
    <col min="6" max="6" width="17" style="9" bestFit="1" customWidth="1"/>
    <col min="7" max="7" width="13.85546875" style="9" bestFit="1" customWidth="1"/>
    <col min="8" max="8" width="17.42578125" style="9" bestFit="1" customWidth="1"/>
    <col min="9" max="9" width="16" style="9" bestFit="1" customWidth="1"/>
    <col min="10" max="10" width="16.140625" style="9" bestFit="1" customWidth="1"/>
    <col min="11" max="11" width="17" style="9" bestFit="1" customWidth="1"/>
    <col min="12" max="12" width="9" style="9" customWidth="1"/>
    <col min="13" max="16384" width="9" style="9"/>
  </cols>
  <sheetData>
    <row r="1" spans="1:11" ht="19.5" x14ac:dyDescent="0.4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19.5" x14ac:dyDescent="0.45">
      <c r="A2" s="158" t="s">
        <v>76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1" ht="19.5" x14ac:dyDescent="0.45">
      <c r="A3" s="158" t="s">
        <v>271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5" spans="1:11" ht="19.5" x14ac:dyDescent="0.45">
      <c r="A5" s="161" t="s">
        <v>129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</row>
    <row r="7" spans="1:11" ht="19.5" customHeight="1" x14ac:dyDescent="0.45">
      <c r="A7" s="79"/>
      <c r="B7" s="160" t="s">
        <v>273</v>
      </c>
      <c r="C7" s="160"/>
      <c r="D7" s="160"/>
      <c r="E7" s="160"/>
      <c r="F7" s="160"/>
      <c r="G7" s="160" t="s">
        <v>264</v>
      </c>
      <c r="H7" s="160"/>
      <c r="I7" s="160"/>
      <c r="J7" s="160"/>
      <c r="K7" s="160"/>
    </row>
    <row r="8" spans="1:11" ht="19.5" customHeight="1" x14ac:dyDescent="0.45">
      <c r="A8" s="158" t="s">
        <v>130</v>
      </c>
      <c r="B8" s="159" t="s">
        <v>90</v>
      </c>
      <c r="C8" s="174" t="s">
        <v>125</v>
      </c>
      <c r="D8" s="159" t="s">
        <v>126</v>
      </c>
      <c r="E8" s="159" t="s">
        <v>60</v>
      </c>
      <c r="F8" s="159"/>
      <c r="G8" s="159" t="s">
        <v>90</v>
      </c>
      <c r="H8" s="174" t="s">
        <v>125</v>
      </c>
      <c r="I8" s="159" t="s">
        <v>126</v>
      </c>
      <c r="J8" s="159" t="s">
        <v>60</v>
      </c>
      <c r="K8" s="159"/>
    </row>
    <row r="9" spans="1:11" ht="18.75" customHeight="1" x14ac:dyDescent="0.45">
      <c r="A9" s="158"/>
      <c r="B9" s="163"/>
      <c r="C9" s="175"/>
      <c r="D9" s="163"/>
      <c r="E9" s="160"/>
      <c r="F9" s="160"/>
      <c r="G9" s="163"/>
      <c r="H9" s="175"/>
      <c r="I9" s="163"/>
      <c r="J9" s="160"/>
      <c r="K9" s="160"/>
    </row>
    <row r="10" spans="1:11" ht="28.5" customHeight="1" thickBot="1" x14ac:dyDescent="0.5">
      <c r="A10" s="162"/>
      <c r="B10" s="160" t="s">
        <v>127</v>
      </c>
      <c r="C10" s="176" t="s">
        <v>128</v>
      </c>
      <c r="D10" s="160" t="s">
        <v>128</v>
      </c>
      <c r="E10" s="81" t="s">
        <v>67</v>
      </c>
      <c r="F10" s="81" t="s">
        <v>131</v>
      </c>
      <c r="G10" s="160" t="s">
        <v>127</v>
      </c>
      <c r="H10" s="176" t="s">
        <v>128</v>
      </c>
      <c r="I10" s="160" t="s">
        <v>128</v>
      </c>
      <c r="J10" s="81" t="s">
        <v>67</v>
      </c>
      <c r="K10" s="81" t="s">
        <v>131</v>
      </c>
    </row>
    <row r="11" spans="1:11" ht="23.1" customHeight="1" x14ac:dyDescent="0.45">
      <c r="A11" s="82" t="s">
        <v>16</v>
      </c>
      <c r="B11" s="35">
        <v>0</v>
      </c>
      <c r="C11" s="35">
        <v>0</v>
      </c>
      <c r="D11" s="35">
        <v>0</v>
      </c>
      <c r="E11" s="35">
        <f>Table15[[#This Row],[0]]+Table15[[#This Row],[1052073440.0000]]+Table15[[#This Row],[2243711990.0000]]</f>
        <v>0</v>
      </c>
      <c r="F11" s="84">
        <f>Table15[[#This Row],[3295785430.0000]]/درآمدها!$C$12</f>
        <v>0</v>
      </c>
      <c r="G11" s="35">
        <v>0</v>
      </c>
      <c r="H11" s="35">
        <v>0</v>
      </c>
      <c r="I11" s="83">
        <v>6776111870</v>
      </c>
      <c r="J11" s="83">
        <f>Table15[[#This Row],[2764670768.0000]]+Table15[[#This Row],[Column9]]+Table15[[#This Row],[Column7]]</f>
        <v>6776111870</v>
      </c>
      <c r="K11" s="84">
        <f>Table15[[#This Row],[5008382758.0000]]/درآمدها!$C$12</f>
        <v>0.94556778494834237</v>
      </c>
    </row>
    <row r="12" spans="1:11" ht="23.1" customHeight="1" x14ac:dyDescent="0.45">
      <c r="A12" s="82" t="s">
        <v>17</v>
      </c>
      <c r="B12" s="35">
        <v>0</v>
      </c>
      <c r="C12" s="35">
        <v>0</v>
      </c>
      <c r="D12" s="35">
        <v>0</v>
      </c>
      <c r="E12" s="35">
        <f>Table15[[#This Row],[0]]+Table15[[#This Row],[1052073440.0000]]+Table15[[#This Row],[2243711990.0000]]</f>
        <v>0</v>
      </c>
      <c r="F12" s="84">
        <f>Table15[[#This Row],[3295785430.0000]]/درآمدها!$C$12</f>
        <v>0</v>
      </c>
      <c r="G12" s="35">
        <v>0</v>
      </c>
      <c r="H12" s="35">
        <v>0</v>
      </c>
      <c r="I12" s="83">
        <v>863231235</v>
      </c>
      <c r="J12" s="83">
        <f>Table15[[#This Row],[2764670768.0000]]+Table15[[#This Row],[Column9]]+Table15[[#This Row],[Column7]]</f>
        <v>863231235</v>
      </c>
      <c r="K12" s="84">
        <f>Table15[[#This Row],[5008382758.0000]]/درآمدها!$C$12</f>
        <v>0.12045899808575208</v>
      </c>
    </row>
    <row r="13" spans="1:11" ht="23.1" customHeight="1" x14ac:dyDescent="0.45">
      <c r="A13" s="82" t="s">
        <v>18</v>
      </c>
      <c r="B13" s="35">
        <v>0</v>
      </c>
      <c r="C13" s="35">
        <v>0</v>
      </c>
      <c r="D13" s="35">
        <v>0</v>
      </c>
      <c r="E13" s="35">
        <f>Table15[[#This Row],[0]]+Table15[[#This Row],[1052073440.0000]]+Table15[[#This Row],[2243711990.0000]]</f>
        <v>0</v>
      </c>
      <c r="F13" s="84">
        <f>Table15[[#This Row],[3295785430.0000]]/درآمدها!$C$12</f>
        <v>0</v>
      </c>
      <c r="G13" s="35">
        <v>0</v>
      </c>
      <c r="H13" s="35">
        <v>0</v>
      </c>
      <c r="I13" s="83">
        <v>1049239876</v>
      </c>
      <c r="J13" s="83">
        <f>Table15[[#This Row],[2764670768.0000]]+Table15[[#This Row],[Column9]]+Table15[[#This Row],[Column7]]</f>
        <v>1049239876</v>
      </c>
      <c r="K13" s="84">
        <f>Table15[[#This Row],[5008382758.0000]]/درآمدها!$C$12</f>
        <v>0.14641544361468659</v>
      </c>
    </row>
    <row r="14" spans="1:11" ht="23.1" customHeight="1" x14ac:dyDescent="0.45">
      <c r="A14" s="82" t="s">
        <v>115</v>
      </c>
      <c r="B14" s="35">
        <v>0</v>
      </c>
      <c r="C14" s="35">
        <v>0</v>
      </c>
      <c r="D14" s="35">
        <v>0</v>
      </c>
      <c r="E14" s="35">
        <f>Table15[[#This Row],[0]]+Table15[[#This Row],[1052073440.0000]]+Table15[[#This Row],[2243711990.0000]]</f>
        <v>0</v>
      </c>
      <c r="F14" s="84">
        <f>Table15[[#This Row],[3295785430.0000]]/درآمدها!$C$12</f>
        <v>0</v>
      </c>
      <c r="G14" s="35">
        <v>0</v>
      </c>
      <c r="H14" s="83">
        <v>-2552225728</v>
      </c>
      <c r="I14" s="83">
        <v>784356057</v>
      </c>
      <c r="J14" s="83">
        <f>Table15[[#This Row],[2764670768.0000]]+Table15[[#This Row],[Column9]]+Table15[[#This Row],[Column7]]</f>
        <v>-1767869671</v>
      </c>
      <c r="K14" s="84">
        <f>Table15[[#This Row],[5008382758.0000]]/درآمدها!$C$12</f>
        <v>-0.24669613503367749</v>
      </c>
    </row>
    <row r="15" spans="1:11" ht="23.1" customHeight="1" x14ac:dyDescent="0.45">
      <c r="A15" s="82" t="s">
        <v>19</v>
      </c>
      <c r="B15" s="35">
        <v>0</v>
      </c>
      <c r="C15" s="35">
        <v>0</v>
      </c>
      <c r="D15" s="35">
        <v>0</v>
      </c>
      <c r="E15" s="35">
        <f>Table15[[#This Row],[0]]+Table15[[#This Row],[1052073440.0000]]+Table15[[#This Row],[2243711990.0000]]</f>
        <v>0</v>
      </c>
      <c r="F15" s="84">
        <f>Table15[[#This Row],[3295785430.0000]]/درآمدها!$C$12</f>
        <v>0</v>
      </c>
      <c r="G15" s="83">
        <v>600000000</v>
      </c>
      <c r="H15" s="83">
        <v>-640789360</v>
      </c>
      <c r="I15" s="83">
        <v>6666971887</v>
      </c>
      <c r="J15" s="83">
        <f>Table15[[#This Row],[2764670768.0000]]+Table15[[#This Row],[Column9]]+Table15[[#This Row],[Column7]]</f>
        <v>6626182527</v>
      </c>
      <c r="K15" s="84">
        <f>Table15[[#This Row],[5008382758.0000]]/درآمدها!$C$12</f>
        <v>0.92464599978907958</v>
      </c>
    </row>
    <row r="16" spans="1:11" ht="23.1" customHeight="1" x14ac:dyDescent="0.45">
      <c r="A16" s="82" t="s">
        <v>141</v>
      </c>
      <c r="B16" s="35">
        <v>0</v>
      </c>
      <c r="C16" s="35">
        <v>0</v>
      </c>
      <c r="D16" s="35">
        <v>0</v>
      </c>
      <c r="E16" s="35">
        <f>Table15[[#This Row],[0]]+Table15[[#This Row],[1052073440.0000]]+Table15[[#This Row],[2243711990.0000]]</f>
        <v>0</v>
      </c>
      <c r="F16" s="84">
        <f>Table15[[#This Row],[3295785430.0000]]/درآمدها!$C$12</f>
        <v>0</v>
      </c>
      <c r="G16" s="35">
        <v>0</v>
      </c>
      <c r="H16" s="83">
        <v>-8926739255</v>
      </c>
      <c r="I16" s="83">
        <v>-503865581</v>
      </c>
      <c r="J16" s="83">
        <f>Table15[[#This Row],[2764670768.0000]]+Table15[[#This Row],[Column9]]+Table15[[#This Row],[Column7]]</f>
        <v>-9430604836</v>
      </c>
      <c r="K16" s="84">
        <f>Table15[[#This Row],[5008382758.0000]]/درآمدها!$C$12</f>
        <v>-1.3159871466968041</v>
      </c>
    </row>
    <row r="17" spans="1:11" ht="23.1" customHeight="1" x14ac:dyDescent="0.45">
      <c r="A17" s="82" t="s">
        <v>20</v>
      </c>
      <c r="B17" s="35">
        <v>0</v>
      </c>
      <c r="C17" s="35">
        <v>0</v>
      </c>
      <c r="D17" s="35">
        <v>0</v>
      </c>
      <c r="E17" s="35">
        <f>Table15[[#This Row],[0]]+Table15[[#This Row],[1052073440.0000]]+Table15[[#This Row],[2243711990.0000]]</f>
        <v>0</v>
      </c>
      <c r="F17" s="84">
        <f>Table15[[#This Row],[3295785430.0000]]/درآمدها!$C$12</f>
        <v>0</v>
      </c>
      <c r="G17" s="35">
        <v>0</v>
      </c>
      <c r="H17" s="83">
        <v>-184138510</v>
      </c>
      <c r="I17" s="83">
        <v>9678136118</v>
      </c>
      <c r="J17" s="83">
        <f>Table15[[#This Row],[2764670768.0000]]+Table15[[#This Row],[Column9]]+Table15[[#This Row],[Column7]]</f>
        <v>9493997608</v>
      </c>
      <c r="K17" s="84">
        <f>Table15[[#This Row],[5008382758.0000]]/درآمدها!$C$12</f>
        <v>1.3248332466656016</v>
      </c>
    </row>
    <row r="18" spans="1:11" ht="23.1" customHeight="1" x14ac:dyDescent="0.45">
      <c r="A18" s="82" t="s">
        <v>21</v>
      </c>
      <c r="B18" s="35">
        <v>0</v>
      </c>
      <c r="C18" s="35">
        <v>0</v>
      </c>
      <c r="D18" s="35">
        <v>0</v>
      </c>
      <c r="E18" s="35">
        <f>Table15[[#This Row],[0]]+Table15[[#This Row],[1052073440.0000]]+Table15[[#This Row],[2243711990.0000]]</f>
        <v>0</v>
      </c>
      <c r="F18" s="84">
        <f>Table15[[#This Row],[3295785430.0000]]/درآمدها!$C$12</f>
        <v>0</v>
      </c>
      <c r="G18" s="35">
        <v>0</v>
      </c>
      <c r="H18" s="35">
        <v>0</v>
      </c>
      <c r="I18" s="83">
        <v>51808480</v>
      </c>
      <c r="J18" s="83">
        <f>Table15[[#This Row],[2764670768.0000]]+Table15[[#This Row],[Column9]]+Table15[[#This Row],[Column7]]</f>
        <v>51808480</v>
      </c>
      <c r="K18" s="84">
        <f>Table15[[#This Row],[5008382758.0000]]/درآمدها!$C$12</f>
        <v>7.2295780552307344E-3</v>
      </c>
    </row>
    <row r="19" spans="1:11" ht="23.1" customHeight="1" x14ac:dyDescent="0.45">
      <c r="A19" s="82" t="s">
        <v>22</v>
      </c>
      <c r="B19" s="35">
        <v>0</v>
      </c>
      <c r="C19" s="35">
        <v>0</v>
      </c>
      <c r="D19" s="35">
        <v>0</v>
      </c>
      <c r="E19" s="35">
        <f>Table15[[#This Row],[0]]+Table15[[#This Row],[1052073440.0000]]+Table15[[#This Row],[2243711990.0000]]</f>
        <v>0</v>
      </c>
      <c r="F19" s="84">
        <f>Table15[[#This Row],[3295785430.0000]]/درآمدها!$C$12</f>
        <v>0</v>
      </c>
      <c r="G19" s="35">
        <v>0</v>
      </c>
      <c r="H19" s="83">
        <v>738013280</v>
      </c>
      <c r="I19" s="83">
        <v>248012087</v>
      </c>
      <c r="J19" s="83">
        <f>Table15[[#This Row],[2764670768.0000]]+Table15[[#This Row],[Column9]]+Table15[[#This Row],[Column7]]</f>
        <v>986025367</v>
      </c>
      <c r="K19" s="84">
        <f>Table15[[#This Row],[5008382758.0000]]/درآمدها!$C$12</f>
        <v>0.13759421923136969</v>
      </c>
    </row>
    <row r="20" spans="1:11" ht="23.1" customHeight="1" x14ac:dyDescent="0.45">
      <c r="A20" s="82" t="s">
        <v>23</v>
      </c>
      <c r="B20" s="35">
        <v>0</v>
      </c>
      <c r="C20" s="35">
        <v>0</v>
      </c>
      <c r="D20" s="35">
        <v>0</v>
      </c>
      <c r="E20" s="35">
        <f>Table15[[#This Row],[0]]+Table15[[#This Row],[1052073440.0000]]+Table15[[#This Row],[2243711990.0000]]</f>
        <v>0</v>
      </c>
      <c r="F20" s="84">
        <f>Table15[[#This Row],[3295785430.0000]]/درآمدها!$C$12</f>
        <v>0</v>
      </c>
      <c r="G20" s="35">
        <v>0</v>
      </c>
      <c r="H20" s="35">
        <v>0</v>
      </c>
      <c r="I20" s="83">
        <v>6055039385</v>
      </c>
      <c r="J20" s="83">
        <f>Table15[[#This Row],[2764670768.0000]]+Table15[[#This Row],[Column9]]+Table15[[#This Row],[Column7]]</f>
        <v>6055039385</v>
      </c>
      <c r="K20" s="84">
        <f>Table15[[#This Row],[5008382758.0000]]/درآمدها!$C$12</f>
        <v>0.84494623006414793</v>
      </c>
    </row>
    <row r="21" spans="1:11" ht="23.1" customHeight="1" x14ac:dyDescent="0.45">
      <c r="A21" s="82" t="s">
        <v>212</v>
      </c>
      <c r="B21" s="35">
        <v>0</v>
      </c>
      <c r="C21" s="35">
        <v>0</v>
      </c>
      <c r="D21" s="35">
        <v>0</v>
      </c>
      <c r="E21" s="35">
        <f>Table15[[#This Row],[0]]+Table15[[#This Row],[1052073440.0000]]+Table15[[#This Row],[2243711990.0000]]</f>
        <v>0</v>
      </c>
      <c r="F21" s="84">
        <f>Table15[[#This Row],[3295785430.0000]]/درآمدها!$C$12</f>
        <v>0</v>
      </c>
      <c r="G21" s="35">
        <v>0</v>
      </c>
      <c r="H21" s="83">
        <v>-995434819</v>
      </c>
      <c r="I21" s="35">
        <v>0</v>
      </c>
      <c r="J21" s="83">
        <f>Table15[[#This Row],[2764670768.0000]]+Table15[[#This Row],[Column9]]+Table15[[#This Row],[Column7]]</f>
        <v>-995434819</v>
      </c>
      <c r="K21" s="84">
        <f>Table15[[#This Row],[5008382758.0000]]/درآمدها!$C$12</f>
        <v>-0.1389072546203822</v>
      </c>
    </row>
    <row r="22" spans="1:11" ht="23.1" customHeight="1" x14ac:dyDescent="0.45">
      <c r="A22" s="82" t="s">
        <v>111</v>
      </c>
      <c r="B22" s="35">
        <v>0</v>
      </c>
      <c r="C22" s="35">
        <v>0</v>
      </c>
      <c r="D22" s="35">
        <v>0</v>
      </c>
      <c r="E22" s="35">
        <f>Table15[[#This Row],[0]]+Table15[[#This Row],[1052073440.0000]]+Table15[[#This Row],[2243711990.0000]]</f>
        <v>0</v>
      </c>
      <c r="F22" s="84">
        <f>Table15[[#This Row],[3295785430.0000]]/درآمدها!$C$12</f>
        <v>0</v>
      </c>
      <c r="G22" s="35">
        <v>0</v>
      </c>
      <c r="H22" s="35">
        <v>0</v>
      </c>
      <c r="I22" s="83">
        <v>2088024530</v>
      </c>
      <c r="J22" s="83">
        <f>Table15[[#This Row],[2764670768.0000]]+Table15[[#This Row],[Column9]]+Table15[[#This Row],[Column7]]</f>
        <v>2088024530</v>
      </c>
      <c r="K22" s="84">
        <f>Table15[[#This Row],[5008382758.0000]]/درآمدها!$C$12</f>
        <v>0.29137192059816208</v>
      </c>
    </row>
    <row r="23" spans="1:11" ht="23.1" customHeight="1" x14ac:dyDescent="0.45">
      <c r="A23" s="82" t="s">
        <v>120</v>
      </c>
      <c r="B23" s="35">
        <v>0</v>
      </c>
      <c r="C23" s="35">
        <v>0</v>
      </c>
      <c r="D23" s="35">
        <v>0</v>
      </c>
      <c r="E23" s="35">
        <f>Table15[[#This Row],[0]]+Table15[[#This Row],[1052073440.0000]]+Table15[[#This Row],[2243711990.0000]]</f>
        <v>0</v>
      </c>
      <c r="F23" s="84">
        <f>Table15[[#This Row],[3295785430.0000]]/درآمدها!$C$12</f>
        <v>0</v>
      </c>
      <c r="G23" s="35">
        <v>0</v>
      </c>
      <c r="H23" s="83">
        <v>-9033249548</v>
      </c>
      <c r="I23" s="83">
        <v>1316099011</v>
      </c>
      <c r="J23" s="83">
        <f>Table15[[#This Row],[2764670768.0000]]+Table15[[#This Row],[Column9]]+Table15[[#This Row],[Column7]]</f>
        <v>-7717150537</v>
      </c>
      <c r="K23" s="84">
        <f>Table15[[#This Row],[5008382758.0000]]/درآمدها!$C$12</f>
        <v>-1.0768843666366448</v>
      </c>
    </row>
    <row r="24" spans="1:11" ht="23.1" customHeight="1" x14ac:dyDescent="0.45">
      <c r="A24" s="82" t="s">
        <v>24</v>
      </c>
      <c r="B24" s="35">
        <v>0</v>
      </c>
      <c r="C24" s="35">
        <v>0</v>
      </c>
      <c r="D24" s="35">
        <v>0</v>
      </c>
      <c r="E24" s="35">
        <f>Table15[[#This Row],[0]]+Table15[[#This Row],[1052073440.0000]]+Table15[[#This Row],[2243711990.0000]]</f>
        <v>0</v>
      </c>
      <c r="F24" s="84">
        <f>Table15[[#This Row],[3295785430.0000]]/درآمدها!$C$12</f>
        <v>0</v>
      </c>
      <c r="G24" s="35">
        <v>0</v>
      </c>
      <c r="H24" s="83">
        <v>-605173249</v>
      </c>
      <c r="I24" s="83">
        <v>3792462282</v>
      </c>
      <c r="J24" s="83">
        <f>Table15[[#This Row],[2764670768.0000]]+Table15[[#This Row],[Column9]]+Table15[[#This Row],[Column7]]</f>
        <v>3187289033</v>
      </c>
      <c r="K24" s="84">
        <f>Table15[[#This Row],[5008382758.0000]]/درآمدها!$C$12</f>
        <v>0.44476801575059505</v>
      </c>
    </row>
    <row r="25" spans="1:11" ht="23.1" customHeight="1" x14ac:dyDescent="0.45">
      <c r="A25" s="82" t="s">
        <v>25</v>
      </c>
      <c r="B25" s="35">
        <v>0</v>
      </c>
      <c r="C25" s="35">
        <v>0</v>
      </c>
      <c r="D25" s="35">
        <v>0</v>
      </c>
      <c r="E25" s="35">
        <f>Table15[[#This Row],[0]]+Table15[[#This Row],[1052073440.0000]]+Table15[[#This Row],[2243711990.0000]]</f>
        <v>0</v>
      </c>
      <c r="F25" s="84">
        <f>Table15[[#This Row],[3295785430.0000]]/درآمدها!$C$12</f>
        <v>0</v>
      </c>
      <c r="G25" s="35">
        <v>0</v>
      </c>
      <c r="H25" s="35">
        <v>0</v>
      </c>
      <c r="I25" s="83">
        <v>5533931095</v>
      </c>
      <c r="J25" s="83">
        <f>Table15[[#This Row],[2764670768.0000]]+Table15[[#This Row],[Column9]]+Table15[[#This Row],[Column7]]</f>
        <v>5533931095</v>
      </c>
      <c r="K25" s="84">
        <f>Table15[[#This Row],[5008382758.0000]]/درآمدها!$C$12</f>
        <v>0.77222853871742603</v>
      </c>
    </row>
    <row r="26" spans="1:11" ht="23.1" customHeight="1" x14ac:dyDescent="0.45">
      <c r="A26" s="82" t="s">
        <v>213</v>
      </c>
      <c r="B26" s="35">
        <v>0</v>
      </c>
      <c r="C26" s="35">
        <v>0</v>
      </c>
      <c r="D26" s="35">
        <v>0</v>
      </c>
      <c r="E26" s="35">
        <f>Table15[[#This Row],[0]]+Table15[[#This Row],[1052073440.0000]]+Table15[[#This Row],[2243711990.0000]]</f>
        <v>0</v>
      </c>
      <c r="F26" s="84">
        <f>Table15[[#This Row],[3295785430.0000]]/درآمدها!$C$12</f>
        <v>0</v>
      </c>
      <c r="G26" s="35">
        <v>0</v>
      </c>
      <c r="H26" s="83">
        <v>-2463436931</v>
      </c>
      <c r="I26" s="35">
        <v>0</v>
      </c>
      <c r="J26" s="83">
        <f>Table15[[#This Row],[2764670768.0000]]+Table15[[#This Row],[Column9]]+Table15[[#This Row],[Column7]]</f>
        <v>-2463436931</v>
      </c>
      <c r="K26" s="84">
        <f>Table15[[#This Row],[5008382758.0000]]/درآمدها!$C$12</f>
        <v>-0.34375858115896374</v>
      </c>
    </row>
    <row r="27" spans="1:11" ht="23.1" customHeight="1" x14ac:dyDescent="0.45">
      <c r="A27" s="82" t="s">
        <v>26</v>
      </c>
      <c r="B27" s="35">
        <v>0</v>
      </c>
      <c r="C27" s="35">
        <v>0</v>
      </c>
      <c r="D27" s="35">
        <v>0</v>
      </c>
      <c r="E27" s="35">
        <f>Table15[[#This Row],[0]]+Table15[[#This Row],[1052073440.0000]]+Table15[[#This Row],[2243711990.0000]]</f>
        <v>0</v>
      </c>
      <c r="F27" s="84">
        <f>Table15[[#This Row],[3295785430.0000]]/درآمدها!$C$12</f>
        <v>0</v>
      </c>
      <c r="G27" s="35">
        <v>0</v>
      </c>
      <c r="H27" s="83">
        <v>-5131660285</v>
      </c>
      <c r="I27" s="83">
        <v>1519606426</v>
      </c>
      <c r="J27" s="83">
        <f>Table15[[#This Row],[2764670768.0000]]+Table15[[#This Row],[Column9]]+Table15[[#This Row],[Column7]]</f>
        <v>-3612053859</v>
      </c>
      <c r="K27" s="84">
        <f>Table15[[#This Row],[5008382758.0000]]/درآمدها!$C$12</f>
        <v>-0.50404152589185958</v>
      </c>
    </row>
    <row r="28" spans="1:11" ht="23.1" customHeight="1" x14ac:dyDescent="0.45">
      <c r="A28" s="82" t="s">
        <v>27</v>
      </c>
      <c r="B28" s="35">
        <v>0</v>
      </c>
      <c r="C28" s="35">
        <v>0</v>
      </c>
      <c r="D28" s="35">
        <v>0</v>
      </c>
      <c r="E28" s="35">
        <f>Table15[[#This Row],[0]]+Table15[[#This Row],[1052073440.0000]]+Table15[[#This Row],[2243711990.0000]]</f>
        <v>0</v>
      </c>
      <c r="F28" s="84">
        <f>Table15[[#This Row],[3295785430.0000]]/درآمدها!$C$12</f>
        <v>0</v>
      </c>
      <c r="G28" s="35">
        <v>0</v>
      </c>
      <c r="H28" s="35">
        <v>0</v>
      </c>
      <c r="I28" s="83">
        <v>48863160</v>
      </c>
      <c r="J28" s="83">
        <f>Table15[[#This Row],[2764670768.0000]]+Table15[[#This Row],[Column9]]+Table15[[#This Row],[Column7]]</f>
        <v>48863160</v>
      </c>
      <c r="K28" s="84">
        <f>Table15[[#This Row],[5008382758.0000]]/درآمدها!$C$12</f>
        <v>6.8185754387163691E-3</v>
      </c>
    </row>
    <row r="29" spans="1:11" ht="23.1" customHeight="1" x14ac:dyDescent="0.45">
      <c r="A29" s="82" t="s">
        <v>142</v>
      </c>
      <c r="B29" s="35">
        <v>0</v>
      </c>
      <c r="C29" s="35">
        <v>0</v>
      </c>
      <c r="D29" s="35">
        <v>0</v>
      </c>
      <c r="E29" s="35">
        <f>Table15[[#This Row],[0]]+Table15[[#This Row],[1052073440.0000]]+Table15[[#This Row],[2243711990.0000]]</f>
        <v>0</v>
      </c>
      <c r="F29" s="84">
        <f>Table15[[#This Row],[3295785430.0000]]/درآمدها!$C$12</f>
        <v>0</v>
      </c>
      <c r="G29" s="35">
        <v>0</v>
      </c>
      <c r="H29" s="83">
        <v>-7058344330</v>
      </c>
      <c r="I29" s="83">
        <v>-1267458967</v>
      </c>
      <c r="J29" s="83">
        <f>Table15[[#This Row],[2764670768.0000]]+Table15[[#This Row],[Column9]]+Table15[[#This Row],[Column7]]</f>
        <v>-8325803297</v>
      </c>
      <c r="K29" s="84">
        <f>Table15[[#This Row],[5008382758.0000]]/درآمدها!$C$12</f>
        <v>-1.1618183897338601</v>
      </c>
    </row>
    <row r="30" spans="1:11" ht="23.1" customHeight="1" x14ac:dyDescent="0.45">
      <c r="A30" s="82" t="s">
        <v>143</v>
      </c>
      <c r="B30" s="35">
        <v>0</v>
      </c>
      <c r="C30" s="35">
        <v>0</v>
      </c>
      <c r="D30" s="35">
        <v>0</v>
      </c>
      <c r="E30" s="35">
        <f>Table15[[#This Row],[0]]+Table15[[#This Row],[1052073440.0000]]+Table15[[#This Row],[2243711990.0000]]</f>
        <v>0</v>
      </c>
      <c r="F30" s="84">
        <f>Table15[[#This Row],[3295785430.0000]]/درآمدها!$C$12</f>
        <v>0</v>
      </c>
      <c r="G30" s="35">
        <v>0</v>
      </c>
      <c r="H30" s="83">
        <v>-3668437627</v>
      </c>
      <c r="I30" s="35">
        <v>0</v>
      </c>
      <c r="J30" s="83">
        <f>Table15[[#This Row],[2764670768.0000]]+Table15[[#This Row],[Column9]]+Table15[[#This Row],[Column7]]</f>
        <v>-3668437627</v>
      </c>
      <c r="K30" s="84">
        <f>Table15[[#This Row],[5008382758.0000]]/درآمدها!$C$12</f>
        <v>-0.51190955930654425</v>
      </c>
    </row>
    <row r="31" spans="1:11" ht="23.1" customHeight="1" x14ac:dyDescent="0.45">
      <c r="A31" s="82" t="s">
        <v>28</v>
      </c>
      <c r="B31" s="35">
        <v>0</v>
      </c>
      <c r="C31" s="35">
        <v>0</v>
      </c>
      <c r="D31" s="35">
        <v>0</v>
      </c>
      <c r="E31" s="35">
        <f>Table15[[#This Row],[0]]+Table15[[#This Row],[1052073440.0000]]+Table15[[#This Row],[2243711990.0000]]</f>
        <v>0</v>
      </c>
      <c r="F31" s="84">
        <f>Table15[[#This Row],[3295785430.0000]]/درآمدها!$C$12</f>
        <v>0</v>
      </c>
      <c r="G31" s="35">
        <v>0</v>
      </c>
      <c r="H31" s="83">
        <v>-5649307415</v>
      </c>
      <c r="I31" s="83">
        <v>171028592</v>
      </c>
      <c r="J31" s="83">
        <f>Table15[[#This Row],[2764670768.0000]]+Table15[[#This Row],[Column9]]+Table15[[#This Row],[Column7]]</f>
        <v>-5478278823</v>
      </c>
      <c r="K31" s="84">
        <f>Table15[[#This Row],[5008382758.0000]]/درآمدها!$C$12</f>
        <v>-0.76446258139972567</v>
      </c>
    </row>
    <row r="32" spans="1:11" ht="23.1" customHeight="1" x14ac:dyDescent="0.45">
      <c r="A32" s="82" t="s">
        <v>29</v>
      </c>
      <c r="B32" s="35">
        <v>0</v>
      </c>
      <c r="C32" s="35">
        <v>0</v>
      </c>
      <c r="D32" s="35">
        <v>0</v>
      </c>
      <c r="E32" s="35">
        <f>Table15[[#This Row],[0]]+Table15[[#This Row],[1052073440.0000]]+Table15[[#This Row],[2243711990.0000]]</f>
        <v>0</v>
      </c>
      <c r="F32" s="84">
        <f>Table15[[#This Row],[3295785430.0000]]/درآمدها!$C$12</f>
        <v>0</v>
      </c>
      <c r="G32" s="35">
        <v>373736000</v>
      </c>
      <c r="H32" s="35">
        <v>0</v>
      </c>
      <c r="I32" s="83">
        <v>1469633300</v>
      </c>
      <c r="J32" s="83">
        <f>Table15[[#This Row],[2764670768.0000]]+Table15[[#This Row],[Column9]]+Table15[[#This Row],[Column7]]</f>
        <v>1843369300</v>
      </c>
      <c r="K32" s="84">
        <f>Table15[[#This Row],[5008382758.0000]]/درآمدها!$C$12</f>
        <v>0.25723167788296514</v>
      </c>
    </row>
    <row r="33" spans="1:11" ht="23.1" customHeight="1" x14ac:dyDescent="0.45">
      <c r="A33" s="82" t="s">
        <v>30</v>
      </c>
      <c r="B33" s="35">
        <v>0</v>
      </c>
      <c r="C33" s="35">
        <v>0</v>
      </c>
      <c r="D33" s="35">
        <v>0</v>
      </c>
      <c r="E33" s="35">
        <f>Table15[[#This Row],[0]]+Table15[[#This Row],[1052073440.0000]]+Table15[[#This Row],[2243711990.0000]]</f>
        <v>0</v>
      </c>
      <c r="F33" s="84">
        <f>Table15[[#This Row],[3295785430.0000]]/درآمدها!$C$12</f>
        <v>0</v>
      </c>
      <c r="G33" s="35">
        <v>0</v>
      </c>
      <c r="H33" s="35">
        <v>0</v>
      </c>
      <c r="I33" s="83">
        <v>680054318</v>
      </c>
      <c r="J33" s="83">
        <f>Table15[[#This Row],[2764670768.0000]]+Table15[[#This Row],[Column9]]+Table15[[#This Row],[Column7]]</f>
        <v>680054318</v>
      </c>
      <c r="K33" s="84">
        <f>Table15[[#This Row],[5008382758.0000]]/درآمدها!$C$12</f>
        <v>9.4897703499073963E-2</v>
      </c>
    </row>
    <row r="34" spans="1:11" ht="23.1" customHeight="1" x14ac:dyDescent="0.45">
      <c r="A34" s="82" t="s">
        <v>144</v>
      </c>
      <c r="B34" s="35">
        <v>0</v>
      </c>
      <c r="C34" s="35">
        <v>0</v>
      </c>
      <c r="D34" s="35">
        <v>0</v>
      </c>
      <c r="E34" s="35">
        <f>Table15[[#This Row],[0]]+Table15[[#This Row],[1052073440.0000]]+Table15[[#This Row],[2243711990.0000]]</f>
        <v>0</v>
      </c>
      <c r="F34" s="84">
        <f>Table15[[#This Row],[3295785430.0000]]/درآمدها!$C$12</f>
        <v>0</v>
      </c>
      <c r="G34" s="35">
        <v>0</v>
      </c>
      <c r="H34" s="83">
        <v>-110709830</v>
      </c>
      <c r="I34" s="83">
        <v>-2024781743</v>
      </c>
      <c r="J34" s="83">
        <f>Table15[[#This Row],[2764670768.0000]]+Table15[[#This Row],[Column9]]+Table15[[#This Row],[Column7]]</f>
        <v>-2135491573</v>
      </c>
      <c r="K34" s="84">
        <f>Table15[[#This Row],[5008382758.0000]]/درآمدها!$C$12</f>
        <v>-0.29799567586794601</v>
      </c>
    </row>
    <row r="35" spans="1:11" ht="23.1" customHeight="1" x14ac:dyDescent="0.45">
      <c r="A35" s="82" t="s">
        <v>31</v>
      </c>
      <c r="B35" s="35">
        <v>0</v>
      </c>
      <c r="C35" s="35">
        <v>0</v>
      </c>
      <c r="D35" s="35">
        <v>0</v>
      </c>
      <c r="E35" s="35">
        <f>Table15[[#This Row],[0]]+Table15[[#This Row],[1052073440.0000]]+Table15[[#This Row],[2243711990.0000]]</f>
        <v>0</v>
      </c>
      <c r="F35" s="84">
        <f>Table15[[#This Row],[3295785430.0000]]/درآمدها!$C$12</f>
        <v>0</v>
      </c>
      <c r="G35" s="35">
        <v>0</v>
      </c>
      <c r="H35" s="83">
        <v>-460123048</v>
      </c>
      <c r="I35" s="83">
        <v>11616862443</v>
      </c>
      <c r="J35" s="83">
        <f>Table15[[#This Row],[2764670768.0000]]+Table15[[#This Row],[Column9]]+Table15[[#This Row],[Column7]]</f>
        <v>11156739395</v>
      </c>
      <c r="K35" s="84">
        <f>Table15[[#This Row],[5008382758.0000]]/درآمدها!$C$12</f>
        <v>1.5568593847574803</v>
      </c>
    </row>
    <row r="36" spans="1:11" ht="23.1" customHeight="1" x14ac:dyDescent="0.45">
      <c r="A36" s="82" t="s">
        <v>32</v>
      </c>
      <c r="B36" s="35">
        <v>0</v>
      </c>
      <c r="C36" s="35">
        <v>0</v>
      </c>
      <c r="D36" s="35">
        <v>0</v>
      </c>
      <c r="E36" s="35">
        <f>Table15[[#This Row],[0]]+Table15[[#This Row],[1052073440.0000]]+Table15[[#This Row],[2243711990.0000]]</f>
        <v>0</v>
      </c>
      <c r="F36" s="84">
        <f>Table15[[#This Row],[3295785430.0000]]/درآمدها!$C$12</f>
        <v>0</v>
      </c>
      <c r="G36" s="83">
        <v>739500000</v>
      </c>
      <c r="H36" s="35">
        <v>0</v>
      </c>
      <c r="I36" s="83">
        <v>4982318807</v>
      </c>
      <c r="J36" s="83">
        <f>Table15[[#This Row],[2764670768.0000]]+Table15[[#This Row],[Column9]]+Table15[[#This Row],[Column7]]</f>
        <v>5721818807</v>
      </c>
      <c r="K36" s="84">
        <f>Table15[[#This Row],[5008382758.0000]]/درآمدها!$C$12</f>
        <v>0.7984471978929647</v>
      </c>
    </row>
    <row r="37" spans="1:11" ht="23.1" customHeight="1" x14ac:dyDescent="0.45">
      <c r="A37" s="82" t="s">
        <v>33</v>
      </c>
      <c r="B37" s="35">
        <v>0</v>
      </c>
      <c r="C37" s="35">
        <v>0</v>
      </c>
      <c r="D37" s="35">
        <v>0</v>
      </c>
      <c r="E37" s="35">
        <f>Table15[[#This Row],[0]]+Table15[[#This Row],[1052073440.0000]]+Table15[[#This Row],[2243711990.0000]]</f>
        <v>0</v>
      </c>
      <c r="F37" s="84">
        <f>Table15[[#This Row],[3295785430.0000]]/درآمدها!$C$12</f>
        <v>0</v>
      </c>
      <c r="G37" s="35">
        <v>0</v>
      </c>
      <c r="H37" s="83">
        <v>-4316697356</v>
      </c>
      <c r="I37" s="83">
        <v>-188152507</v>
      </c>
      <c r="J37" s="83">
        <f>Table15[[#This Row],[2764670768.0000]]+Table15[[#This Row],[Column9]]+Table15[[#This Row],[Column7]]</f>
        <v>-4504849863</v>
      </c>
      <c r="K37" s="84">
        <f>Table15[[#This Row],[5008382758.0000]]/درآمدها!$C$12</f>
        <v>-0.62862611896071807</v>
      </c>
    </row>
    <row r="38" spans="1:11" ht="23.1" customHeight="1" x14ac:dyDescent="0.45">
      <c r="A38" s="82" t="s">
        <v>34</v>
      </c>
      <c r="B38" s="35">
        <v>0</v>
      </c>
      <c r="C38" s="35">
        <v>0</v>
      </c>
      <c r="D38" s="35">
        <v>0</v>
      </c>
      <c r="E38" s="35">
        <f>Table15[[#This Row],[0]]+Table15[[#This Row],[1052073440.0000]]+Table15[[#This Row],[2243711990.0000]]</f>
        <v>0</v>
      </c>
      <c r="F38" s="84">
        <f>Table15[[#This Row],[3295785430.0000]]/درآمدها!$C$12</f>
        <v>0</v>
      </c>
      <c r="G38" s="35">
        <v>0</v>
      </c>
      <c r="H38" s="35">
        <v>0</v>
      </c>
      <c r="I38" s="83">
        <v>424874718</v>
      </c>
      <c r="J38" s="83">
        <f>Table15[[#This Row],[2764670768.0000]]+Table15[[#This Row],[Column9]]+Table15[[#This Row],[Column7]]</f>
        <v>424874718</v>
      </c>
      <c r="K38" s="84">
        <f>Table15[[#This Row],[5008382758.0000]]/درآمدها!$C$12</f>
        <v>5.9288844943436808E-2</v>
      </c>
    </row>
    <row r="39" spans="1:11" ht="23.1" customHeight="1" x14ac:dyDescent="0.45">
      <c r="A39" s="82" t="s">
        <v>145</v>
      </c>
      <c r="B39" s="35">
        <v>0</v>
      </c>
      <c r="C39" s="35">
        <v>0</v>
      </c>
      <c r="D39" s="35">
        <v>0</v>
      </c>
      <c r="E39" s="35">
        <f>Table15[[#This Row],[0]]+Table15[[#This Row],[1052073440.0000]]+Table15[[#This Row],[2243711990.0000]]</f>
        <v>0</v>
      </c>
      <c r="F39" s="84">
        <f>Table15[[#This Row],[3295785430.0000]]/درآمدها!$C$12</f>
        <v>0</v>
      </c>
      <c r="G39" s="35">
        <v>0</v>
      </c>
      <c r="H39" s="83">
        <v>-2709250712</v>
      </c>
      <c r="I39" s="35">
        <v>0</v>
      </c>
      <c r="J39" s="83">
        <f>Table15[[#This Row],[2764670768.0000]]+Table15[[#This Row],[Column9]]+Table15[[#This Row],[Column7]]</f>
        <v>-2709250712</v>
      </c>
      <c r="K39" s="84">
        <f>Table15[[#This Row],[5008382758.0000]]/درآمدها!$C$12</f>
        <v>-0.37806049306201306</v>
      </c>
    </row>
    <row r="40" spans="1:11" ht="23.1" customHeight="1" x14ac:dyDescent="0.45">
      <c r="A40" s="82" t="s">
        <v>214</v>
      </c>
      <c r="B40" s="35">
        <v>0</v>
      </c>
      <c r="C40" s="35">
        <v>0</v>
      </c>
      <c r="D40" s="35">
        <v>0</v>
      </c>
      <c r="E40" s="35">
        <f>Table15[[#This Row],[0]]+Table15[[#This Row],[1052073440.0000]]+Table15[[#This Row],[2243711990.0000]]</f>
        <v>0</v>
      </c>
      <c r="F40" s="84">
        <f>Table15[[#This Row],[3295785430.0000]]/درآمدها!$C$12</f>
        <v>0</v>
      </c>
      <c r="G40" s="35">
        <v>0</v>
      </c>
      <c r="H40" s="83">
        <v>-4027108634</v>
      </c>
      <c r="I40" s="35">
        <v>0</v>
      </c>
      <c r="J40" s="83">
        <f>Table15[[#This Row],[2764670768.0000]]+Table15[[#This Row],[Column9]]+Table15[[#This Row],[Column7]]</f>
        <v>-4027108634</v>
      </c>
      <c r="K40" s="84">
        <f>Table15[[#This Row],[5008382758.0000]]/درآمدها!$C$12</f>
        <v>-0.56196005376719449</v>
      </c>
    </row>
    <row r="41" spans="1:11" ht="23.1" customHeight="1" x14ac:dyDescent="0.45">
      <c r="A41" s="82" t="s">
        <v>116</v>
      </c>
      <c r="B41" s="35">
        <v>0</v>
      </c>
      <c r="C41" s="35">
        <v>0</v>
      </c>
      <c r="D41" s="35">
        <v>0</v>
      </c>
      <c r="E41" s="35">
        <f>Table15[[#This Row],[0]]+Table15[[#This Row],[1052073440.0000]]+Table15[[#This Row],[2243711990.0000]]</f>
        <v>0</v>
      </c>
      <c r="F41" s="84">
        <f>Table15[[#This Row],[3295785430.0000]]/درآمدها!$C$12</f>
        <v>0</v>
      </c>
      <c r="G41" s="35">
        <v>0</v>
      </c>
      <c r="H41" s="35">
        <v>0</v>
      </c>
      <c r="I41" s="83">
        <v>1770743942</v>
      </c>
      <c r="J41" s="83">
        <f>Table15[[#This Row],[2764670768.0000]]+Table15[[#This Row],[Column9]]+Table15[[#This Row],[Column7]]</f>
        <v>1770743942</v>
      </c>
      <c r="K41" s="84">
        <f>Table15[[#This Row],[5008382758.0000]]/درآمدها!$C$12</f>
        <v>0.24709722316724916</v>
      </c>
    </row>
    <row r="42" spans="1:11" ht="23.1" customHeight="1" x14ac:dyDescent="0.45">
      <c r="A42" s="82" t="s">
        <v>35</v>
      </c>
      <c r="B42" s="35">
        <v>0</v>
      </c>
      <c r="C42" s="35">
        <v>0</v>
      </c>
      <c r="D42" s="35">
        <v>0</v>
      </c>
      <c r="E42" s="35">
        <f>Table15[[#This Row],[0]]+Table15[[#This Row],[1052073440.0000]]+Table15[[#This Row],[2243711990.0000]]</f>
        <v>0</v>
      </c>
      <c r="F42" s="84">
        <f>Table15[[#This Row],[3295785430.0000]]/درآمدها!$C$12</f>
        <v>0</v>
      </c>
      <c r="G42" s="35">
        <v>0</v>
      </c>
      <c r="H42" s="35">
        <v>0</v>
      </c>
      <c r="I42" s="83">
        <v>9196615037</v>
      </c>
      <c r="J42" s="83">
        <f>Table15[[#This Row],[2764670768.0000]]+Table15[[#This Row],[Column9]]+Table15[[#This Row],[Column7]]</f>
        <v>9196615037</v>
      </c>
      <c r="K42" s="84">
        <f>Table15[[#This Row],[5008382758.0000]]/درآمدها!$C$12</f>
        <v>1.283335204080494</v>
      </c>
    </row>
    <row r="43" spans="1:11" ht="23.1" customHeight="1" x14ac:dyDescent="0.45">
      <c r="A43" s="82" t="s">
        <v>36</v>
      </c>
      <c r="B43" s="35">
        <v>0</v>
      </c>
      <c r="C43" s="35">
        <v>0</v>
      </c>
      <c r="D43" s="35">
        <v>0</v>
      </c>
      <c r="E43" s="35">
        <f>Table15[[#This Row],[0]]+Table15[[#This Row],[1052073440.0000]]+Table15[[#This Row],[2243711990.0000]]</f>
        <v>0</v>
      </c>
      <c r="F43" s="84">
        <f>Table15[[#This Row],[3295785430.0000]]/درآمدها!$C$12</f>
        <v>0</v>
      </c>
      <c r="G43" s="35">
        <v>0</v>
      </c>
      <c r="H43" s="35">
        <v>0</v>
      </c>
      <c r="I43" s="83">
        <v>3857575045</v>
      </c>
      <c r="J43" s="83">
        <f>Table15[[#This Row],[2764670768.0000]]+Table15[[#This Row],[Column9]]+Table15[[#This Row],[Column7]]</f>
        <v>3857575045</v>
      </c>
      <c r="K43" s="84">
        <f>Table15[[#This Row],[5008382758.0000]]/درآمدها!$C$12</f>
        <v>0.53830260783056583</v>
      </c>
    </row>
    <row r="44" spans="1:11" ht="23.1" customHeight="1" x14ac:dyDescent="0.45">
      <c r="A44" s="82" t="s">
        <v>37</v>
      </c>
      <c r="B44" s="35">
        <v>0</v>
      </c>
      <c r="C44" s="35">
        <v>0</v>
      </c>
      <c r="D44" s="35">
        <v>0</v>
      </c>
      <c r="E44" s="35">
        <f>Table15[[#This Row],[0]]+Table15[[#This Row],[1052073440.0000]]+Table15[[#This Row],[2243711990.0000]]</f>
        <v>0</v>
      </c>
      <c r="F44" s="84">
        <f>Table15[[#This Row],[3295785430.0000]]/درآمدها!$C$12</f>
        <v>0</v>
      </c>
      <c r="G44" s="35">
        <v>0</v>
      </c>
      <c r="H44" s="35">
        <v>0</v>
      </c>
      <c r="I44" s="83">
        <v>13889078172</v>
      </c>
      <c r="J44" s="83">
        <f>Table15[[#This Row],[2764670768.0000]]+Table15[[#This Row],[Column9]]+Table15[[#This Row],[Column7]]</f>
        <v>13889078172</v>
      </c>
      <c r="K44" s="84">
        <f>Table15[[#This Row],[5008382758.0000]]/درآمدها!$C$12</f>
        <v>1.9381416856791669</v>
      </c>
    </row>
    <row r="45" spans="1:11" ht="23.1" customHeight="1" x14ac:dyDescent="0.45">
      <c r="A45" s="82" t="s">
        <v>38</v>
      </c>
      <c r="B45" s="35">
        <v>0</v>
      </c>
      <c r="C45" s="35">
        <v>0</v>
      </c>
      <c r="D45" s="35">
        <v>0</v>
      </c>
      <c r="E45" s="35">
        <f>Table15[[#This Row],[0]]+Table15[[#This Row],[1052073440.0000]]+Table15[[#This Row],[2243711990.0000]]</f>
        <v>0</v>
      </c>
      <c r="F45" s="84">
        <f>Table15[[#This Row],[3295785430.0000]]/درآمدها!$C$12</f>
        <v>0</v>
      </c>
      <c r="G45" s="35">
        <v>0</v>
      </c>
      <c r="H45" s="35">
        <v>0</v>
      </c>
      <c r="I45" s="83">
        <v>4620772488</v>
      </c>
      <c r="J45" s="83">
        <f>Table15[[#This Row],[2764670768.0000]]+Table15[[#This Row],[Column9]]+Table15[[#This Row],[Column7]]</f>
        <v>4620772488</v>
      </c>
      <c r="K45" s="84">
        <f>Table15[[#This Row],[5008382758.0000]]/درآمدها!$C$12</f>
        <v>0.64480246047478562</v>
      </c>
    </row>
    <row r="46" spans="1:11" ht="23.1" customHeight="1" x14ac:dyDescent="0.45">
      <c r="A46" s="82" t="s">
        <v>39</v>
      </c>
      <c r="B46" s="35">
        <v>0</v>
      </c>
      <c r="C46" s="35">
        <v>0</v>
      </c>
      <c r="D46" s="35">
        <v>0</v>
      </c>
      <c r="E46" s="35">
        <f>Table15[[#This Row],[0]]+Table15[[#This Row],[1052073440.0000]]+Table15[[#This Row],[2243711990.0000]]</f>
        <v>0</v>
      </c>
      <c r="F46" s="84">
        <f>Table15[[#This Row],[3295785430.0000]]/درآمدها!$C$12</f>
        <v>0</v>
      </c>
      <c r="G46" s="35">
        <v>0</v>
      </c>
      <c r="H46" s="35">
        <v>0</v>
      </c>
      <c r="I46" s="83">
        <v>864517870</v>
      </c>
      <c r="J46" s="83">
        <f>Table15[[#This Row],[2764670768.0000]]+Table15[[#This Row],[Column9]]+Table15[[#This Row],[Column7]]</f>
        <v>864517870</v>
      </c>
      <c r="K46" s="84">
        <f>Table15[[#This Row],[5008382758.0000]]/درآمدها!$C$12</f>
        <v>0.12063854066567514</v>
      </c>
    </row>
    <row r="47" spans="1:11" ht="23.1" customHeight="1" x14ac:dyDescent="0.45">
      <c r="A47" s="82" t="s">
        <v>40</v>
      </c>
      <c r="B47" s="35">
        <v>0</v>
      </c>
      <c r="C47" s="35">
        <v>0</v>
      </c>
      <c r="D47" s="35">
        <v>0</v>
      </c>
      <c r="E47" s="35">
        <f>Table15[[#This Row],[0]]+Table15[[#This Row],[1052073440.0000]]+Table15[[#This Row],[2243711990.0000]]</f>
        <v>0</v>
      </c>
      <c r="F47" s="84">
        <f>Table15[[#This Row],[3295785430.0000]]/درآمدها!$C$12</f>
        <v>0</v>
      </c>
      <c r="G47" s="35">
        <v>0</v>
      </c>
      <c r="H47" s="35">
        <v>0</v>
      </c>
      <c r="I47" s="83">
        <v>3404901463</v>
      </c>
      <c r="J47" s="83">
        <f>Table15[[#This Row],[2764670768.0000]]+Table15[[#This Row],[Column9]]+Table15[[#This Row],[Column7]]</f>
        <v>3404901463</v>
      </c>
      <c r="K47" s="84">
        <f>Table15[[#This Row],[5008382758.0000]]/درآمدها!$C$12</f>
        <v>0.47513458988041773</v>
      </c>
    </row>
    <row r="48" spans="1:11" ht="23.1" customHeight="1" x14ac:dyDescent="0.45">
      <c r="A48" s="82" t="s">
        <v>41</v>
      </c>
      <c r="B48" s="35">
        <v>0</v>
      </c>
      <c r="C48" s="35">
        <v>0</v>
      </c>
      <c r="D48" s="35">
        <v>0</v>
      </c>
      <c r="E48" s="35">
        <f>Table15[[#This Row],[0]]+Table15[[#This Row],[1052073440.0000]]+Table15[[#This Row],[2243711990.0000]]</f>
        <v>0</v>
      </c>
      <c r="F48" s="84">
        <f>Table15[[#This Row],[3295785430.0000]]/درآمدها!$C$12</f>
        <v>0</v>
      </c>
      <c r="G48" s="35">
        <v>0</v>
      </c>
      <c r="H48" s="35">
        <v>0</v>
      </c>
      <c r="I48" s="83">
        <v>56046063</v>
      </c>
      <c r="J48" s="83">
        <f>Table15[[#This Row],[2764670768.0000]]+Table15[[#This Row],[Column9]]+Table15[[#This Row],[Column7]]</f>
        <v>56046063</v>
      </c>
      <c r="K48" s="84">
        <f>Table15[[#This Row],[5008382758.0000]]/درآمدها!$C$12</f>
        <v>7.8209086069863324E-3</v>
      </c>
    </row>
    <row r="49" spans="1:11" ht="23.1" customHeight="1" x14ac:dyDescent="0.45">
      <c r="A49" s="82" t="s">
        <v>146</v>
      </c>
      <c r="B49" s="35">
        <v>0</v>
      </c>
      <c r="C49" s="35">
        <v>0</v>
      </c>
      <c r="D49" s="35">
        <v>0</v>
      </c>
      <c r="E49" s="35">
        <f>Table15[[#This Row],[0]]+Table15[[#This Row],[1052073440.0000]]+Table15[[#This Row],[2243711990.0000]]</f>
        <v>0</v>
      </c>
      <c r="F49" s="84">
        <f>Table15[[#This Row],[3295785430.0000]]/درآمدها!$C$12</f>
        <v>0</v>
      </c>
      <c r="G49" s="35">
        <v>0</v>
      </c>
      <c r="H49" s="35">
        <v>0</v>
      </c>
      <c r="I49" s="83">
        <v>1229437351</v>
      </c>
      <c r="J49" s="83">
        <f>Table15[[#This Row],[2764670768.0000]]+Table15[[#This Row],[Column9]]+Table15[[#This Row],[Column7]]</f>
        <v>1229437351</v>
      </c>
      <c r="K49" s="84">
        <f>Table15[[#This Row],[5008382758.0000]]/درآمدها!$C$12</f>
        <v>0.17156097405425919</v>
      </c>
    </row>
    <row r="50" spans="1:11" ht="23.1" customHeight="1" x14ac:dyDescent="0.45">
      <c r="A50" s="82" t="s">
        <v>42</v>
      </c>
      <c r="B50" s="35">
        <v>0</v>
      </c>
      <c r="C50" s="35">
        <v>0</v>
      </c>
      <c r="D50" s="35">
        <v>0</v>
      </c>
      <c r="E50" s="35">
        <f>Table15[[#This Row],[0]]+Table15[[#This Row],[1052073440.0000]]+Table15[[#This Row],[2243711990.0000]]</f>
        <v>0</v>
      </c>
      <c r="F50" s="84">
        <f>Table15[[#This Row],[3295785430.0000]]/درآمدها!$C$12</f>
        <v>0</v>
      </c>
      <c r="G50" s="35">
        <v>0</v>
      </c>
      <c r="H50" s="35">
        <v>0</v>
      </c>
      <c r="I50" s="83">
        <v>-975380378</v>
      </c>
      <c r="J50" s="83">
        <f>Table15[[#This Row],[2764670768.0000]]+Table15[[#This Row],[Column9]]+Table15[[#This Row],[Column7]]</f>
        <v>-975380378</v>
      </c>
      <c r="K50" s="84">
        <f>Table15[[#This Row],[5008382758.0000]]/درآمدها!$C$12</f>
        <v>-0.13610877169705538</v>
      </c>
    </row>
    <row r="51" spans="1:11" ht="23.1" customHeight="1" x14ac:dyDescent="0.45">
      <c r="A51" s="82" t="s">
        <v>251</v>
      </c>
      <c r="B51" s="35">
        <v>0</v>
      </c>
      <c r="C51" s="35">
        <v>0</v>
      </c>
      <c r="D51" s="35">
        <v>0</v>
      </c>
      <c r="E51" s="35">
        <f>Table15[[#This Row],[0]]+Table15[[#This Row],[1052073440.0000]]+Table15[[#This Row],[2243711990.0000]]</f>
        <v>0</v>
      </c>
      <c r="F51" s="84">
        <f>Table15[[#This Row],[3295785430.0000]]/درآمدها!$C$12</f>
        <v>0</v>
      </c>
      <c r="G51" s="35">
        <v>0</v>
      </c>
      <c r="H51" s="83">
        <v>-35190123</v>
      </c>
      <c r="I51" s="83">
        <v>0</v>
      </c>
      <c r="J51" s="83">
        <f>Table15[[#This Row],[2764670768.0000]]+Table15[[#This Row],[Column9]]+Table15[[#This Row],[Column7]]</f>
        <v>-35190123</v>
      </c>
      <c r="K51" s="84">
        <f>Table15[[#This Row],[5008382758.0000]]/درآمدها!$C$12</f>
        <v>-4.9105810670699154E-3</v>
      </c>
    </row>
    <row r="52" spans="1:11" ht="23.1" customHeight="1" x14ac:dyDescent="0.45">
      <c r="A52" s="82" t="s">
        <v>43</v>
      </c>
      <c r="B52" s="35">
        <v>0</v>
      </c>
      <c r="C52" s="35">
        <v>0</v>
      </c>
      <c r="D52" s="35">
        <v>0</v>
      </c>
      <c r="E52" s="35">
        <f>Table15[[#This Row],[0]]+Table15[[#This Row],[1052073440.0000]]+Table15[[#This Row],[2243711990.0000]]</f>
        <v>0</v>
      </c>
      <c r="F52" s="84">
        <f>Table15[[#This Row],[3295785430.0000]]/درآمدها!$C$12</f>
        <v>0</v>
      </c>
      <c r="G52" s="35">
        <v>0</v>
      </c>
      <c r="H52" s="35">
        <v>0</v>
      </c>
      <c r="I52" s="83">
        <v>2045475506</v>
      </c>
      <c r="J52" s="83">
        <f>Table15[[#This Row],[2764670768.0000]]+Table15[[#This Row],[Column9]]+Table15[[#This Row],[Column7]]</f>
        <v>2045475506</v>
      </c>
      <c r="K52" s="84">
        <f>Table15[[#This Row],[5008382758.0000]]/درآمدها!$C$12</f>
        <v>0.28543444684518021</v>
      </c>
    </row>
    <row r="53" spans="1:11" ht="23.1" customHeight="1" x14ac:dyDescent="0.45">
      <c r="A53" s="82" t="s">
        <v>44</v>
      </c>
      <c r="B53" s="35">
        <v>0</v>
      </c>
      <c r="C53" s="35">
        <v>0</v>
      </c>
      <c r="D53" s="35">
        <v>0</v>
      </c>
      <c r="E53" s="35">
        <f>Table15[[#This Row],[0]]+Table15[[#This Row],[1052073440.0000]]+Table15[[#This Row],[2243711990.0000]]</f>
        <v>0</v>
      </c>
      <c r="F53" s="84">
        <f>Table15[[#This Row],[3295785430.0000]]/درآمدها!$C$12</f>
        <v>0</v>
      </c>
      <c r="G53" s="35">
        <v>0</v>
      </c>
      <c r="H53" s="35">
        <v>0</v>
      </c>
      <c r="I53" s="83">
        <v>6408412141</v>
      </c>
      <c r="J53" s="83">
        <f>Table15[[#This Row],[2764670768.0000]]+Table15[[#This Row],[Column9]]+Table15[[#This Row],[Column7]]</f>
        <v>6408412141</v>
      </c>
      <c r="K53" s="84">
        <f>Table15[[#This Row],[5008382758.0000]]/درآمدها!$C$12</f>
        <v>0.89425738379986852</v>
      </c>
    </row>
    <row r="54" spans="1:11" ht="23.1" customHeight="1" x14ac:dyDescent="0.45">
      <c r="A54" s="82" t="s">
        <v>113</v>
      </c>
      <c r="B54" s="35">
        <v>0</v>
      </c>
      <c r="C54" s="35">
        <v>0</v>
      </c>
      <c r="D54" s="35">
        <v>0</v>
      </c>
      <c r="E54" s="35">
        <f>Table15[[#This Row],[0]]+Table15[[#This Row],[1052073440.0000]]+Table15[[#This Row],[2243711990.0000]]</f>
        <v>0</v>
      </c>
      <c r="F54" s="84">
        <f>Table15[[#This Row],[3295785430.0000]]/درآمدها!$C$12</f>
        <v>0</v>
      </c>
      <c r="G54" s="35">
        <v>0</v>
      </c>
      <c r="H54" s="35">
        <v>0</v>
      </c>
      <c r="I54" s="83">
        <v>956501431</v>
      </c>
      <c r="J54" s="83">
        <f>Table15[[#This Row],[2764670768.0000]]+Table15[[#This Row],[Column9]]+Table15[[#This Row],[Column7]]</f>
        <v>956501431</v>
      </c>
      <c r="K54" s="84">
        <f>Table15[[#This Row],[5008382758.0000]]/درآمدها!$C$12</f>
        <v>0.13347432226064912</v>
      </c>
    </row>
    <row r="55" spans="1:11" ht="23.1" customHeight="1" x14ac:dyDescent="0.45">
      <c r="A55" s="82" t="s">
        <v>147</v>
      </c>
      <c r="B55" s="35">
        <v>0</v>
      </c>
      <c r="C55" s="35">
        <v>0</v>
      </c>
      <c r="D55" s="35">
        <v>0</v>
      </c>
      <c r="E55" s="35">
        <f>Table15[[#This Row],[0]]+Table15[[#This Row],[1052073440.0000]]+Table15[[#This Row],[2243711990.0000]]</f>
        <v>0</v>
      </c>
      <c r="F55" s="84">
        <f>Table15[[#This Row],[3295785430.0000]]/درآمدها!$C$12</f>
        <v>0</v>
      </c>
      <c r="G55" s="35">
        <v>0</v>
      </c>
      <c r="H55" s="83">
        <v>87622373</v>
      </c>
      <c r="I55" s="83">
        <v>2806986931</v>
      </c>
      <c r="J55" s="83">
        <f>Table15[[#This Row],[2764670768.0000]]+Table15[[#This Row],[Column9]]+Table15[[#This Row],[Column7]]</f>
        <v>2894609304</v>
      </c>
      <c r="K55" s="84">
        <f>Table15[[#This Row],[5008382758.0000]]/درآمدها!$C$12</f>
        <v>0.40392622795853328</v>
      </c>
    </row>
    <row r="56" spans="1:11" ht="23.1" customHeight="1" x14ac:dyDescent="0.45">
      <c r="A56" s="82" t="s">
        <v>148</v>
      </c>
      <c r="B56" s="35">
        <v>0</v>
      </c>
      <c r="C56" s="35">
        <v>0</v>
      </c>
      <c r="D56" s="35">
        <v>0</v>
      </c>
      <c r="E56" s="35">
        <f>Table15[[#This Row],[0]]+Table15[[#This Row],[1052073440.0000]]+Table15[[#This Row],[2243711990.0000]]</f>
        <v>0</v>
      </c>
      <c r="F56" s="84">
        <f>Table15[[#This Row],[3295785430.0000]]/درآمدها!$C$12</f>
        <v>0</v>
      </c>
      <c r="G56" s="35">
        <v>0</v>
      </c>
      <c r="H56" s="83">
        <v>-147444445</v>
      </c>
      <c r="I56" s="83">
        <v>-5579295291</v>
      </c>
      <c r="J56" s="83">
        <f>Table15[[#This Row],[2764670768.0000]]+Table15[[#This Row],[Column9]]+Table15[[#This Row],[Column7]]</f>
        <v>-5726739736</v>
      </c>
      <c r="K56" s="84">
        <f>Table15[[#This Row],[5008382758.0000]]/درآمدها!$C$12</f>
        <v>-0.79913388548367859</v>
      </c>
    </row>
    <row r="57" spans="1:11" ht="23.1" customHeight="1" x14ac:dyDescent="0.45">
      <c r="A57" s="82" t="s">
        <v>117</v>
      </c>
      <c r="B57" s="35">
        <v>0</v>
      </c>
      <c r="C57" s="35">
        <v>0</v>
      </c>
      <c r="D57" s="35">
        <v>0</v>
      </c>
      <c r="E57" s="35">
        <f>Table15[[#This Row],[0]]+Table15[[#This Row],[1052073440.0000]]+Table15[[#This Row],[2243711990.0000]]</f>
        <v>0</v>
      </c>
      <c r="F57" s="84">
        <f>Table15[[#This Row],[3295785430.0000]]/درآمدها!$C$12</f>
        <v>0</v>
      </c>
      <c r="G57" s="35">
        <v>0</v>
      </c>
      <c r="H57" s="35">
        <v>0</v>
      </c>
      <c r="I57" s="83">
        <v>590511410</v>
      </c>
      <c r="J57" s="83">
        <f>Table15[[#This Row],[2764670768.0000]]+Table15[[#This Row],[Column9]]+Table15[[#This Row],[Column7]]</f>
        <v>590511410</v>
      </c>
      <c r="K57" s="84">
        <f>Table15[[#This Row],[5008382758.0000]]/درآمدها!$C$12</f>
        <v>8.2402501117565294E-2</v>
      </c>
    </row>
    <row r="58" spans="1:11" ht="23.1" customHeight="1" x14ac:dyDescent="0.45">
      <c r="A58" s="82" t="s">
        <v>45</v>
      </c>
      <c r="B58" s="35">
        <v>0</v>
      </c>
      <c r="C58" s="35">
        <v>0</v>
      </c>
      <c r="D58" s="35">
        <v>0</v>
      </c>
      <c r="E58" s="35">
        <f>Table15[[#This Row],[0]]+Table15[[#This Row],[1052073440.0000]]+Table15[[#This Row],[2243711990.0000]]</f>
        <v>0</v>
      </c>
      <c r="F58" s="84">
        <f>Table15[[#This Row],[3295785430.0000]]/درآمدها!$C$12</f>
        <v>0</v>
      </c>
      <c r="G58" s="35">
        <v>0</v>
      </c>
      <c r="H58" s="35">
        <v>0</v>
      </c>
      <c r="I58" s="83">
        <v>2968579498</v>
      </c>
      <c r="J58" s="83">
        <f>Table15[[#This Row],[2764670768.0000]]+Table15[[#This Row],[Column9]]+Table15[[#This Row],[Column7]]</f>
        <v>2968579498</v>
      </c>
      <c r="K58" s="84">
        <f>Table15[[#This Row],[5008382758.0000]]/درآمدها!$C$12</f>
        <v>0.41424834687195361</v>
      </c>
    </row>
    <row r="59" spans="1:11" ht="23.1" customHeight="1" x14ac:dyDescent="0.45">
      <c r="A59" s="82" t="s">
        <v>46</v>
      </c>
      <c r="B59" s="35">
        <v>0</v>
      </c>
      <c r="C59" s="35">
        <v>0</v>
      </c>
      <c r="D59" s="35">
        <v>0</v>
      </c>
      <c r="E59" s="35">
        <f>Table15[[#This Row],[0]]+Table15[[#This Row],[1052073440.0000]]+Table15[[#This Row],[2243711990.0000]]</f>
        <v>0</v>
      </c>
      <c r="F59" s="84">
        <f>Table15[[#This Row],[3295785430.0000]]/درآمدها!$C$12</f>
        <v>0</v>
      </c>
      <c r="G59" s="35">
        <v>0</v>
      </c>
      <c r="H59" s="35">
        <v>0</v>
      </c>
      <c r="I59" s="83">
        <v>6539448637</v>
      </c>
      <c r="J59" s="83">
        <f>Table15[[#This Row],[2764670768.0000]]+Table15[[#This Row],[Column9]]+Table15[[#This Row],[Column7]]</f>
        <v>6539448637</v>
      </c>
      <c r="K59" s="84">
        <f>Table15[[#This Row],[5008382758.0000]]/درآمدها!$C$12</f>
        <v>0.91254277985696053</v>
      </c>
    </row>
    <row r="60" spans="1:11" ht="23.1" customHeight="1" x14ac:dyDescent="0.45">
      <c r="A60" s="82" t="s">
        <v>149</v>
      </c>
      <c r="B60" s="35">
        <v>0</v>
      </c>
      <c r="C60" s="35">
        <v>0</v>
      </c>
      <c r="D60" s="35">
        <v>0</v>
      </c>
      <c r="E60" s="35">
        <f>Table15[[#This Row],[0]]+Table15[[#This Row],[1052073440.0000]]+Table15[[#This Row],[2243711990.0000]]</f>
        <v>0</v>
      </c>
      <c r="F60" s="84">
        <f>Table15[[#This Row],[3295785430.0000]]/درآمدها!$C$12</f>
        <v>0</v>
      </c>
      <c r="G60" s="35">
        <v>0</v>
      </c>
      <c r="H60" s="35">
        <v>0</v>
      </c>
      <c r="I60" s="83">
        <v>-5763672835</v>
      </c>
      <c r="J60" s="83">
        <f>Table15[[#This Row],[2764670768.0000]]+Table15[[#This Row],[Column9]]+Table15[[#This Row],[Column7]]</f>
        <v>-5763672835</v>
      </c>
      <c r="K60" s="84">
        <f>Table15[[#This Row],[5008382758.0000]]/درآمدها!$C$12</f>
        <v>-0.80428768891589786</v>
      </c>
    </row>
    <row r="61" spans="1:11" ht="23.1" customHeight="1" x14ac:dyDescent="0.45">
      <c r="A61" s="82" t="s">
        <v>150</v>
      </c>
      <c r="B61" s="35">
        <v>0</v>
      </c>
      <c r="C61" s="35">
        <v>0</v>
      </c>
      <c r="D61" s="35">
        <v>0</v>
      </c>
      <c r="E61" s="35">
        <f>Table15[[#This Row],[0]]+Table15[[#This Row],[1052073440.0000]]+Table15[[#This Row],[2243711990.0000]]</f>
        <v>0</v>
      </c>
      <c r="F61" s="84">
        <f>Table15[[#This Row],[3295785430.0000]]/درآمدها!$C$12</f>
        <v>0</v>
      </c>
      <c r="G61" s="35">
        <v>0</v>
      </c>
      <c r="H61" s="83">
        <v>-3396670646</v>
      </c>
      <c r="I61" s="83">
        <v>-10642</v>
      </c>
      <c r="J61" s="83">
        <f>Table15[[#This Row],[2764670768.0000]]+Table15[[#This Row],[Column9]]+Table15[[#This Row],[Column7]]</f>
        <v>-3396681288</v>
      </c>
      <c r="K61" s="84">
        <f>Table15[[#This Row],[5008382758.0000]]/درآمدها!$C$12</f>
        <v>-0.47398751131740724</v>
      </c>
    </row>
    <row r="62" spans="1:11" ht="23.1" customHeight="1" x14ac:dyDescent="0.45">
      <c r="A62" s="82" t="s">
        <v>47</v>
      </c>
      <c r="B62" s="35">
        <v>0</v>
      </c>
      <c r="C62" s="35">
        <v>0</v>
      </c>
      <c r="D62" s="35">
        <v>0</v>
      </c>
      <c r="E62" s="35">
        <f>Table15[[#This Row],[0]]+Table15[[#This Row],[1052073440.0000]]+Table15[[#This Row],[2243711990.0000]]</f>
        <v>0</v>
      </c>
      <c r="F62" s="84">
        <f>Table15[[#This Row],[3295785430.0000]]/درآمدها!$C$12</f>
        <v>0</v>
      </c>
      <c r="G62" s="35">
        <v>0</v>
      </c>
      <c r="H62" s="35">
        <v>0</v>
      </c>
      <c r="I62" s="83">
        <v>4963105480</v>
      </c>
      <c r="J62" s="83">
        <f>Table15[[#This Row],[2764670768.0000]]+Table15[[#This Row],[Column9]]+Table15[[#This Row],[Column7]]</f>
        <v>4963105480</v>
      </c>
      <c r="K62" s="84">
        <f>Table15[[#This Row],[5008382758.0000]]/درآمدها!$C$12</f>
        <v>0.6925730780753151</v>
      </c>
    </row>
    <row r="63" spans="1:11" ht="23.1" customHeight="1" x14ac:dyDescent="0.45">
      <c r="A63" s="82" t="s">
        <v>215</v>
      </c>
      <c r="B63" s="35">
        <v>0</v>
      </c>
      <c r="C63" s="35">
        <v>0</v>
      </c>
      <c r="D63" s="35">
        <v>0</v>
      </c>
      <c r="E63" s="35">
        <f>Table15[[#This Row],[0]]+Table15[[#This Row],[1052073440.0000]]+Table15[[#This Row],[2243711990.0000]]</f>
        <v>0</v>
      </c>
      <c r="F63" s="84">
        <f>Table15[[#This Row],[3295785430.0000]]/درآمدها!$C$12</f>
        <v>0</v>
      </c>
      <c r="G63" s="35">
        <v>0</v>
      </c>
      <c r="H63" s="83">
        <v>14077041</v>
      </c>
      <c r="I63" s="83">
        <v>0</v>
      </c>
      <c r="J63" s="83">
        <f>Table15[[#This Row],[2764670768.0000]]+Table15[[#This Row],[Column9]]+Table15[[#This Row],[Column7]]</f>
        <v>14077041</v>
      </c>
      <c r="K63" s="84">
        <f>Table15[[#This Row],[5008382758.0000]]/درآمدها!$C$12</f>
        <v>1.9643708268643149E-3</v>
      </c>
    </row>
    <row r="64" spans="1:11" ht="23.1" customHeight="1" x14ac:dyDescent="0.45">
      <c r="A64" s="82" t="s">
        <v>48</v>
      </c>
      <c r="B64" s="35">
        <v>0</v>
      </c>
      <c r="C64" s="35">
        <v>0</v>
      </c>
      <c r="D64" s="35">
        <v>0</v>
      </c>
      <c r="E64" s="35">
        <f>Table15[[#This Row],[0]]+Table15[[#This Row],[1052073440.0000]]+Table15[[#This Row],[2243711990.0000]]</f>
        <v>0</v>
      </c>
      <c r="F64" s="84">
        <f>Table15[[#This Row],[3295785430.0000]]/درآمدها!$C$12</f>
        <v>0</v>
      </c>
      <c r="G64" s="35">
        <v>0</v>
      </c>
      <c r="H64" s="35">
        <v>0</v>
      </c>
      <c r="I64" s="83">
        <v>4078244207</v>
      </c>
      <c r="J64" s="83">
        <f>Table15[[#This Row],[2764670768.0000]]+Table15[[#This Row],[Column9]]+Table15[[#This Row],[Column7]]</f>
        <v>4078244207</v>
      </c>
      <c r="K64" s="84">
        <f>Table15[[#This Row],[5008382758.0000]]/درآمدها!$C$12</f>
        <v>0.56909573148641057</v>
      </c>
    </row>
    <row r="65" spans="1:11" ht="23.1" customHeight="1" x14ac:dyDescent="0.45">
      <c r="A65" s="82" t="s">
        <v>109</v>
      </c>
      <c r="B65" s="35">
        <v>0</v>
      </c>
      <c r="C65" s="35">
        <v>0</v>
      </c>
      <c r="D65" s="35">
        <v>0</v>
      </c>
      <c r="E65" s="35">
        <f>Table15[[#This Row],[0]]+Table15[[#This Row],[1052073440.0000]]+Table15[[#This Row],[2243711990.0000]]</f>
        <v>0</v>
      </c>
      <c r="F65" s="84">
        <f>Table15[[#This Row],[3295785430.0000]]/درآمدها!$C$12</f>
        <v>0</v>
      </c>
      <c r="G65" s="35">
        <v>0</v>
      </c>
      <c r="H65" s="35">
        <v>0</v>
      </c>
      <c r="I65" s="83">
        <v>453616262</v>
      </c>
      <c r="J65" s="83">
        <f>Table15[[#This Row],[2764670768.0000]]+Table15[[#This Row],[Column9]]+Table15[[#This Row],[Column7]]</f>
        <v>453616262</v>
      </c>
      <c r="K65" s="84">
        <f>Table15[[#This Row],[5008382758.0000]]/درآمدها!$C$12</f>
        <v>6.3299563570500345E-2</v>
      </c>
    </row>
    <row r="66" spans="1:11" ht="23.1" customHeight="1" x14ac:dyDescent="0.45">
      <c r="A66" s="82" t="s">
        <v>151</v>
      </c>
      <c r="B66" s="35">
        <v>0</v>
      </c>
      <c r="C66" s="35">
        <v>0</v>
      </c>
      <c r="D66" s="35">
        <v>0</v>
      </c>
      <c r="E66" s="35">
        <f>Table15[[#This Row],[0]]+Table15[[#This Row],[1052073440.0000]]+Table15[[#This Row],[2243711990.0000]]</f>
        <v>0</v>
      </c>
      <c r="F66" s="84">
        <f>Table15[[#This Row],[3295785430.0000]]/درآمدها!$C$12</f>
        <v>0</v>
      </c>
      <c r="G66" s="35">
        <v>0</v>
      </c>
      <c r="H66" s="35">
        <v>0</v>
      </c>
      <c r="I66" s="83">
        <v>868699065</v>
      </c>
      <c r="J66" s="83">
        <f>Table15[[#This Row],[2764670768.0000]]+Table15[[#This Row],[Column9]]+Table15[[#This Row],[Column7]]</f>
        <v>868699065</v>
      </c>
      <c r="K66" s="84">
        <f>Table15[[#This Row],[5008382758.0000]]/درآمدها!$C$12</f>
        <v>0.12122200259346458</v>
      </c>
    </row>
    <row r="67" spans="1:11" ht="23.1" customHeight="1" x14ac:dyDescent="0.45">
      <c r="A67" s="82" t="s">
        <v>119</v>
      </c>
      <c r="B67" s="35">
        <v>0</v>
      </c>
      <c r="C67" s="35">
        <v>0</v>
      </c>
      <c r="D67" s="35">
        <v>0</v>
      </c>
      <c r="E67" s="35">
        <f>Table15[[#This Row],[0]]+Table15[[#This Row],[1052073440.0000]]+Table15[[#This Row],[2243711990.0000]]</f>
        <v>0</v>
      </c>
      <c r="F67" s="84">
        <f>Table15[[#This Row],[3295785430.0000]]/درآمدها!$C$12</f>
        <v>0</v>
      </c>
      <c r="G67" s="35">
        <v>0</v>
      </c>
      <c r="H67" s="35">
        <v>0</v>
      </c>
      <c r="I67" s="83">
        <v>2692875117</v>
      </c>
      <c r="J67" s="83">
        <f>Table15[[#This Row],[2764670768.0000]]+Table15[[#This Row],[Column9]]+Table15[[#This Row],[Column7]]</f>
        <v>2692875117</v>
      </c>
      <c r="K67" s="84">
        <f>Table15[[#This Row],[5008382758.0000]]/درآمدها!$C$12</f>
        <v>0.37577537212711309</v>
      </c>
    </row>
    <row r="68" spans="1:11" ht="23.1" customHeight="1" x14ac:dyDescent="0.45">
      <c r="A68" s="82" t="s">
        <v>49</v>
      </c>
      <c r="B68" s="35">
        <v>0</v>
      </c>
      <c r="C68" s="35">
        <v>0</v>
      </c>
      <c r="D68" s="35">
        <v>0</v>
      </c>
      <c r="E68" s="35">
        <f>Table15[[#This Row],[0]]+Table15[[#This Row],[1052073440.0000]]+Table15[[#This Row],[2243711990.0000]]</f>
        <v>0</v>
      </c>
      <c r="F68" s="84">
        <f>Table15[[#This Row],[3295785430.0000]]/درآمدها!$C$12</f>
        <v>0</v>
      </c>
      <c r="G68" s="35">
        <v>0</v>
      </c>
      <c r="H68" s="35">
        <v>0</v>
      </c>
      <c r="I68" s="83">
        <v>3348652990</v>
      </c>
      <c r="J68" s="83">
        <f>Table15[[#This Row],[2764670768.0000]]+Table15[[#This Row],[Column9]]+Table15[[#This Row],[Column7]]</f>
        <v>3348652990</v>
      </c>
      <c r="K68" s="84">
        <f>Table15[[#This Row],[5008382758.0000]]/درآمدها!$C$12</f>
        <v>0.46728543611174822</v>
      </c>
    </row>
    <row r="69" spans="1:11" ht="23.1" customHeight="1" x14ac:dyDescent="0.45">
      <c r="A69" s="82" t="s">
        <v>114</v>
      </c>
      <c r="B69" s="35">
        <v>0</v>
      </c>
      <c r="C69" s="35">
        <v>0</v>
      </c>
      <c r="D69" s="35">
        <v>0</v>
      </c>
      <c r="E69" s="35">
        <f>Table15[[#This Row],[0]]+Table15[[#This Row],[1052073440.0000]]+Table15[[#This Row],[2243711990.0000]]</f>
        <v>0</v>
      </c>
      <c r="F69" s="84">
        <f>Table15[[#This Row],[3295785430.0000]]/درآمدها!$C$12</f>
        <v>0</v>
      </c>
      <c r="G69" s="35">
        <v>0</v>
      </c>
      <c r="H69" s="83">
        <v>408245226</v>
      </c>
      <c r="I69" s="83">
        <v>2084804301</v>
      </c>
      <c r="J69" s="83">
        <f>Table15[[#This Row],[2764670768.0000]]+Table15[[#This Row],[Column9]]+Table15[[#This Row],[Column7]]</f>
        <v>2493049527</v>
      </c>
      <c r="K69" s="84">
        <f>Table15[[#This Row],[5008382758.0000]]/درآمدها!$C$12</f>
        <v>0.34789085012728732</v>
      </c>
    </row>
    <row r="70" spans="1:11" ht="23.1" customHeight="1" x14ac:dyDescent="0.45">
      <c r="A70" s="82" t="s">
        <v>50</v>
      </c>
      <c r="B70" s="35">
        <v>0</v>
      </c>
      <c r="C70" s="35">
        <v>0</v>
      </c>
      <c r="D70" s="35">
        <v>0</v>
      </c>
      <c r="E70" s="35">
        <f>Table15[[#This Row],[0]]+Table15[[#This Row],[1052073440.0000]]+Table15[[#This Row],[2243711990.0000]]</f>
        <v>0</v>
      </c>
      <c r="F70" s="84">
        <f>Table15[[#This Row],[3295785430.0000]]/درآمدها!$C$12</f>
        <v>0</v>
      </c>
      <c r="G70" s="35">
        <v>0</v>
      </c>
      <c r="H70" s="83">
        <v>-674937791</v>
      </c>
      <c r="I70" s="83">
        <v>5918007635</v>
      </c>
      <c r="J70" s="83">
        <f>Table15[[#This Row],[2764670768.0000]]+Table15[[#This Row],[Column9]]+Table15[[#This Row],[Column7]]</f>
        <v>5243069844</v>
      </c>
      <c r="K70" s="84">
        <f>Table15[[#This Row],[5008382758.0000]]/درآمدها!$C$12</f>
        <v>0.73164050916422241</v>
      </c>
    </row>
    <row r="71" spans="1:11" ht="23.1" customHeight="1" x14ac:dyDescent="0.45">
      <c r="A71" s="82" t="s">
        <v>152</v>
      </c>
      <c r="B71" s="35">
        <v>0</v>
      </c>
      <c r="C71" s="35">
        <v>0</v>
      </c>
      <c r="D71" s="35">
        <v>0</v>
      </c>
      <c r="E71" s="35">
        <f>Table15[[#This Row],[0]]+Table15[[#This Row],[1052073440.0000]]+Table15[[#This Row],[2243711990.0000]]</f>
        <v>0</v>
      </c>
      <c r="F71" s="84">
        <f>Table15[[#This Row],[3295785430.0000]]/درآمدها!$C$12</f>
        <v>0</v>
      </c>
      <c r="G71" s="35">
        <v>0</v>
      </c>
      <c r="H71" s="83">
        <v>-863903489</v>
      </c>
      <c r="I71" s="83">
        <v>-88057765</v>
      </c>
      <c r="J71" s="83">
        <f>Table15[[#This Row],[2764670768.0000]]+Table15[[#This Row],[Column9]]+Table15[[#This Row],[Column7]]</f>
        <v>-951961254</v>
      </c>
      <c r="K71" s="84">
        <f>Table15[[#This Row],[5008382758.0000]]/درآمدها!$C$12</f>
        <v>-0.13284076644109866</v>
      </c>
    </row>
    <row r="72" spans="1:11" ht="23.1" customHeight="1" x14ac:dyDescent="0.45">
      <c r="A72" s="82" t="s">
        <v>118</v>
      </c>
      <c r="B72" s="35">
        <v>0</v>
      </c>
      <c r="C72" s="35">
        <v>0</v>
      </c>
      <c r="D72" s="35">
        <v>0</v>
      </c>
      <c r="E72" s="35">
        <f>Table15[[#This Row],[0]]+Table15[[#This Row],[1052073440.0000]]+Table15[[#This Row],[2243711990.0000]]</f>
        <v>0</v>
      </c>
      <c r="F72" s="84">
        <f>Table15[[#This Row],[3295785430.0000]]/درآمدها!$C$12</f>
        <v>0</v>
      </c>
      <c r="G72" s="35">
        <v>0</v>
      </c>
      <c r="H72" s="83">
        <v>-658035781</v>
      </c>
      <c r="I72" s="83">
        <v>-1881740938</v>
      </c>
      <c r="J72" s="83">
        <f>Table15[[#This Row],[2764670768.0000]]+Table15[[#This Row],[Column9]]+Table15[[#This Row],[Column7]]</f>
        <v>-2539776719</v>
      </c>
      <c r="K72" s="84">
        <f>Table15[[#This Row],[5008382758.0000]]/درآمدها!$C$12</f>
        <v>-0.35441136340746371</v>
      </c>
    </row>
    <row r="73" spans="1:11" ht="23.1" customHeight="1" x14ac:dyDescent="0.45">
      <c r="A73" s="82" t="s">
        <v>51</v>
      </c>
      <c r="B73" s="35">
        <v>0</v>
      </c>
      <c r="C73" s="35">
        <v>0</v>
      </c>
      <c r="D73" s="35">
        <v>0</v>
      </c>
      <c r="E73" s="35">
        <f>Table15[[#This Row],[0]]+Table15[[#This Row],[1052073440.0000]]+Table15[[#This Row],[2243711990.0000]]</f>
        <v>0</v>
      </c>
      <c r="F73" s="84">
        <f>Table15[[#This Row],[3295785430.0000]]/درآمدها!$C$12</f>
        <v>0</v>
      </c>
      <c r="G73" s="35">
        <v>0</v>
      </c>
      <c r="H73" s="35">
        <v>0</v>
      </c>
      <c r="I73" s="83">
        <v>618829344</v>
      </c>
      <c r="J73" s="83">
        <f>Table15[[#This Row],[2764670768.0000]]+Table15[[#This Row],[Column9]]+Table15[[#This Row],[Column7]]</f>
        <v>618829344</v>
      </c>
      <c r="K73" s="84">
        <f>Table15[[#This Row],[5008382758.0000]]/درآمدها!$C$12</f>
        <v>8.6354107383872905E-2</v>
      </c>
    </row>
    <row r="74" spans="1:11" ht="23.1" customHeight="1" x14ac:dyDescent="0.45">
      <c r="A74" s="82" t="s">
        <v>107</v>
      </c>
      <c r="B74" s="35">
        <v>0</v>
      </c>
      <c r="C74" s="35">
        <v>0</v>
      </c>
      <c r="D74" s="35">
        <v>0</v>
      </c>
      <c r="E74" s="35">
        <f>Table15[[#This Row],[0]]+Table15[[#This Row],[1052073440.0000]]+Table15[[#This Row],[2243711990.0000]]</f>
        <v>0</v>
      </c>
      <c r="F74" s="84">
        <f>Table15[[#This Row],[3295785430.0000]]/درآمدها!$C$12</f>
        <v>0</v>
      </c>
      <c r="G74" s="83">
        <v>185000000</v>
      </c>
      <c r="H74" s="83">
        <v>24651080</v>
      </c>
      <c r="I74" s="83">
        <v>1688534368</v>
      </c>
      <c r="J74" s="83">
        <f>Table15[[#This Row],[2764670768.0000]]+Table15[[#This Row],[Column9]]+Table15[[#This Row],[Column7]]</f>
        <v>1898185448</v>
      </c>
      <c r="K74" s="84">
        <f>Table15[[#This Row],[5008382758.0000]]/درآمدها!$C$12</f>
        <v>0.26488095886270202</v>
      </c>
    </row>
    <row r="75" spans="1:11" ht="23.1" customHeight="1" x14ac:dyDescent="0.45">
      <c r="A75" s="82" t="s">
        <v>52</v>
      </c>
      <c r="B75" s="83">
        <v>20012798</v>
      </c>
      <c r="C75" s="35">
        <v>0</v>
      </c>
      <c r="D75" s="35">
        <v>0</v>
      </c>
      <c r="E75" s="35">
        <f>Table15[[#This Row],[0]]+Table15[[#This Row],[1052073440.0000]]+Table15[[#This Row],[2243711990.0000]]</f>
        <v>20012798</v>
      </c>
      <c r="F75" s="84">
        <f>Table15[[#This Row],[3295785430.0000]]/درآمدها!$C$12</f>
        <v>2.7926718800583522E-3</v>
      </c>
      <c r="G75" s="83">
        <v>1005804470</v>
      </c>
      <c r="H75" s="83">
        <v>-1701148323</v>
      </c>
      <c r="I75" s="83">
        <v>6234209696</v>
      </c>
      <c r="J75" s="83">
        <f>Table15[[#This Row],[2764670768.0000]]+Table15[[#This Row],[Column9]]+Table15[[#This Row],[Column7]]</f>
        <v>5538865843</v>
      </c>
      <c r="K75" s="84">
        <f>Table15[[#This Row],[5008382758.0000]]/درآمدها!$C$12</f>
        <v>0.77291715467081612</v>
      </c>
    </row>
    <row r="76" spans="1:11" ht="23.1" customHeight="1" x14ac:dyDescent="0.45">
      <c r="A76" s="82" t="s">
        <v>153</v>
      </c>
      <c r="B76" s="35">
        <v>0</v>
      </c>
      <c r="C76" s="35">
        <v>0</v>
      </c>
      <c r="D76" s="35">
        <v>0</v>
      </c>
      <c r="E76" s="35">
        <f>Table15[[#This Row],[0]]+Table15[[#This Row],[1052073440.0000]]+Table15[[#This Row],[2243711990.0000]]</f>
        <v>0</v>
      </c>
      <c r="F76" s="84">
        <f>Table15[[#This Row],[3295785430.0000]]/درآمدها!$C$12</f>
        <v>0</v>
      </c>
      <c r="G76" s="35">
        <v>0</v>
      </c>
      <c r="H76" s="35">
        <v>0</v>
      </c>
      <c r="I76" s="83">
        <v>1381747</v>
      </c>
      <c r="J76" s="83">
        <f>Table15[[#This Row],[2764670768.0000]]+Table15[[#This Row],[Column9]]+Table15[[#This Row],[Column7]]</f>
        <v>1381747</v>
      </c>
      <c r="K76" s="84">
        <f>Table15[[#This Row],[5008382758.0000]]/درآمدها!$C$12</f>
        <v>1.9281491734713895E-4</v>
      </c>
    </row>
    <row r="77" spans="1:11" ht="23.1" customHeight="1" x14ac:dyDescent="0.45">
      <c r="A77" s="82" t="s">
        <v>53</v>
      </c>
      <c r="B77" s="35">
        <v>0</v>
      </c>
      <c r="C77" s="35">
        <v>0</v>
      </c>
      <c r="D77" s="35">
        <v>0</v>
      </c>
      <c r="E77" s="35">
        <f>Table15[[#This Row],[0]]+Table15[[#This Row],[1052073440.0000]]+Table15[[#This Row],[2243711990.0000]]</f>
        <v>0</v>
      </c>
      <c r="F77" s="84">
        <f>Table15[[#This Row],[3295785430.0000]]/درآمدها!$C$12</f>
        <v>0</v>
      </c>
      <c r="G77" s="35">
        <v>0</v>
      </c>
      <c r="H77" s="35">
        <v>0</v>
      </c>
      <c r="I77" s="83">
        <v>3720961946</v>
      </c>
      <c r="J77" s="83">
        <f>Table15[[#This Row],[2764670768.0000]]+Table15[[#This Row],[Column9]]+Table15[[#This Row],[Column7]]</f>
        <v>3720961946</v>
      </c>
      <c r="K77" s="84">
        <f>Table15[[#This Row],[5008382758.0000]]/درآمدها!$C$12</f>
        <v>0.51923902861366034</v>
      </c>
    </row>
    <row r="78" spans="1:11" ht="23.1" customHeight="1" x14ac:dyDescent="0.45">
      <c r="A78" s="82" t="s">
        <v>216</v>
      </c>
      <c r="B78" s="35">
        <v>3010385344</v>
      </c>
      <c r="C78" s="35">
        <v>0</v>
      </c>
      <c r="D78" s="35">
        <v>0</v>
      </c>
      <c r="E78" s="35">
        <f>Table15[[#This Row],[0]]+Table15[[#This Row],[1052073440.0000]]+Table15[[#This Row],[2243711990.0000]]</f>
        <v>3010385344</v>
      </c>
      <c r="F78" s="84">
        <f>Table15[[#This Row],[3295785430.0000]]/درآمدها!$C$12</f>
        <v>0.42008211437144316</v>
      </c>
      <c r="G78" s="35">
        <v>3010385344</v>
      </c>
      <c r="H78" s="83">
        <v>-1005361402</v>
      </c>
      <c r="I78" s="83">
        <v>-84351680</v>
      </c>
      <c r="J78" s="83">
        <f>Table15[[#This Row],[2764670768.0000]]+Table15[[#This Row],[Column9]]+Table15[[#This Row],[Column7]]</f>
        <v>1920672262</v>
      </c>
      <c r="K78" s="84">
        <f>Table15[[#This Row],[5008382758.0000]]/درآمدها!$C$12</f>
        <v>0.26801886557269344</v>
      </c>
    </row>
    <row r="79" spans="1:11" ht="23.1" customHeight="1" x14ac:dyDescent="0.45">
      <c r="A79" s="82" t="s">
        <v>54</v>
      </c>
      <c r="B79" s="35">
        <v>0</v>
      </c>
      <c r="C79" s="35">
        <v>0</v>
      </c>
      <c r="D79" s="35">
        <v>0</v>
      </c>
      <c r="E79" s="35">
        <f>Table15[[#This Row],[0]]+Table15[[#This Row],[1052073440.0000]]+Table15[[#This Row],[2243711990.0000]]</f>
        <v>0</v>
      </c>
      <c r="F79" s="84">
        <f>Table15[[#This Row],[3295785430.0000]]/درآمدها!$C$12</f>
        <v>0</v>
      </c>
      <c r="G79" s="35">
        <v>0</v>
      </c>
      <c r="H79" s="35">
        <v>0</v>
      </c>
      <c r="I79" s="83">
        <v>592175053</v>
      </c>
      <c r="J79" s="83">
        <f>Table15[[#This Row],[2764670768.0000]]+Table15[[#This Row],[Column9]]+Table15[[#This Row],[Column7]]</f>
        <v>592175053</v>
      </c>
      <c r="K79" s="84">
        <f>Table15[[#This Row],[5008382758.0000]]/درآمدها!$C$12</f>
        <v>8.2634653014794057E-2</v>
      </c>
    </row>
    <row r="80" spans="1:11" ht="23.1" customHeight="1" x14ac:dyDescent="0.45">
      <c r="A80" s="82" t="s">
        <v>55</v>
      </c>
      <c r="B80" s="35">
        <v>0</v>
      </c>
      <c r="C80" s="35">
        <v>0</v>
      </c>
      <c r="D80" s="35">
        <v>0</v>
      </c>
      <c r="E80" s="35">
        <f>Table15[[#This Row],[0]]+Table15[[#This Row],[1052073440.0000]]+Table15[[#This Row],[2243711990.0000]]</f>
        <v>0</v>
      </c>
      <c r="F80" s="84">
        <f>Table15[[#This Row],[3295785430.0000]]/درآمدها!$C$12</f>
        <v>0</v>
      </c>
      <c r="G80" s="35">
        <v>0</v>
      </c>
      <c r="H80" s="35">
        <v>0</v>
      </c>
      <c r="I80" s="83">
        <v>337499030</v>
      </c>
      <c r="J80" s="83">
        <f>Table15[[#This Row],[2764670768.0000]]+Table15[[#This Row],[Column9]]+Table15[[#This Row],[Column7]]</f>
        <v>337499030</v>
      </c>
      <c r="K80" s="84">
        <f>Table15[[#This Row],[5008382758.0000]]/درآمدها!$C$12</f>
        <v>4.7096065758919378E-2</v>
      </c>
    </row>
    <row r="81" spans="1:11" ht="23.1" customHeight="1" x14ac:dyDescent="0.45">
      <c r="A81" s="82" t="s">
        <v>56</v>
      </c>
      <c r="B81" s="35">
        <v>0</v>
      </c>
      <c r="C81" s="35">
        <v>0</v>
      </c>
      <c r="D81" s="35">
        <v>0</v>
      </c>
      <c r="E81" s="35">
        <f>Table15[[#This Row],[0]]+Table15[[#This Row],[1052073440.0000]]+Table15[[#This Row],[2243711990.0000]]</f>
        <v>0</v>
      </c>
      <c r="F81" s="84">
        <f>Table15[[#This Row],[3295785430.0000]]/درآمدها!$C$12</f>
        <v>0</v>
      </c>
      <c r="G81" s="35">
        <v>0</v>
      </c>
      <c r="H81" s="35">
        <v>0</v>
      </c>
      <c r="I81" s="83">
        <v>-331358323</v>
      </c>
      <c r="J81" s="83">
        <f>Table15[[#This Row],[2764670768.0000]]+Table15[[#This Row],[Column9]]+Table15[[#This Row],[Column7]]</f>
        <v>-331358323</v>
      </c>
      <c r="K81" s="84">
        <f>Table15[[#This Row],[5008382758.0000]]/درآمدها!$C$12</f>
        <v>-4.6239165101521172E-2</v>
      </c>
    </row>
    <row r="82" spans="1:11" ht="23.1" customHeight="1" x14ac:dyDescent="0.45">
      <c r="A82" s="82" t="s">
        <v>57</v>
      </c>
      <c r="B82" s="35">
        <v>0</v>
      </c>
      <c r="C82" s="35">
        <v>0</v>
      </c>
      <c r="D82" s="35">
        <v>0</v>
      </c>
      <c r="E82" s="35">
        <f>Table15[[#This Row],[0]]+Table15[[#This Row],[1052073440.0000]]+Table15[[#This Row],[2243711990.0000]]</f>
        <v>0</v>
      </c>
      <c r="F82" s="84">
        <f>Table15[[#This Row],[3295785430.0000]]/درآمدها!$C$12</f>
        <v>0</v>
      </c>
      <c r="G82" s="35">
        <v>0</v>
      </c>
      <c r="H82" s="83">
        <v>-4774375306</v>
      </c>
      <c r="I82" s="83">
        <v>-1877347410</v>
      </c>
      <c r="J82" s="83">
        <f>Table15[[#This Row],[2764670768.0000]]+Table15[[#This Row],[Column9]]+Table15[[#This Row],[Column7]]</f>
        <v>-6651722716</v>
      </c>
      <c r="K82" s="84">
        <f>Table15[[#This Row],[5008382758.0000]]/درآمدها!$C$12</f>
        <v>-0.92820998757487927</v>
      </c>
    </row>
    <row r="83" spans="1:11" ht="23.1" customHeight="1" x14ac:dyDescent="0.45">
      <c r="A83" s="82" t="s">
        <v>112</v>
      </c>
      <c r="B83" s="35">
        <v>0</v>
      </c>
      <c r="C83" s="35">
        <v>0</v>
      </c>
      <c r="D83" s="35">
        <v>0</v>
      </c>
      <c r="E83" s="35">
        <f>Table15[[#This Row],[0]]+Table15[[#This Row],[1052073440.0000]]+Table15[[#This Row],[2243711990.0000]]</f>
        <v>0</v>
      </c>
      <c r="F83" s="84">
        <f>Table15[[#This Row],[3295785430.0000]]/درآمدها!$C$12</f>
        <v>0</v>
      </c>
      <c r="G83" s="35">
        <v>0</v>
      </c>
      <c r="H83" s="35">
        <v>0</v>
      </c>
      <c r="I83" s="83">
        <v>1109409755</v>
      </c>
      <c r="J83" s="83">
        <f>Table15[[#This Row],[2764670768.0000]]+Table15[[#This Row],[Column9]]+Table15[[#This Row],[Column7]]</f>
        <v>1109409755</v>
      </c>
      <c r="K83" s="84">
        <f>Table15[[#This Row],[5008382758.0000]]/درآمدها!$C$12</f>
        <v>0.15481180723709528</v>
      </c>
    </row>
    <row r="84" spans="1:11" ht="23.1" customHeight="1" x14ac:dyDescent="0.45">
      <c r="A84" s="82" t="s">
        <v>110</v>
      </c>
      <c r="B84" s="35">
        <v>0</v>
      </c>
      <c r="C84" s="35">
        <v>0</v>
      </c>
      <c r="D84" s="35">
        <v>0</v>
      </c>
      <c r="E84" s="35">
        <f>Table15[[#This Row],[0]]+Table15[[#This Row],[1052073440.0000]]+Table15[[#This Row],[2243711990.0000]]</f>
        <v>0</v>
      </c>
      <c r="F84" s="84">
        <f>Table15[[#This Row],[3295785430.0000]]/درآمدها!$C$12</f>
        <v>0</v>
      </c>
      <c r="G84" s="35">
        <v>0</v>
      </c>
      <c r="H84" s="83">
        <v>-1481592769</v>
      </c>
      <c r="I84" s="83">
        <v>1967445431</v>
      </c>
      <c r="J84" s="83">
        <f>Table15[[#This Row],[2764670768.0000]]+Table15[[#This Row],[Column9]]+Table15[[#This Row],[Column7]]</f>
        <v>485852662</v>
      </c>
      <c r="K84" s="84">
        <f>Table15[[#This Row],[5008382758.0000]]/درآمدها!$C$12</f>
        <v>6.7797969430306304E-2</v>
      </c>
    </row>
    <row r="85" spans="1:11" ht="23.1" customHeight="1" x14ac:dyDescent="0.45">
      <c r="A85" s="82" t="s">
        <v>108</v>
      </c>
      <c r="B85" s="35">
        <v>0</v>
      </c>
      <c r="C85" s="35">
        <v>0</v>
      </c>
      <c r="D85" s="35">
        <v>0</v>
      </c>
      <c r="E85" s="35">
        <f>Table15[[#This Row],[0]]+Table15[[#This Row],[1052073440.0000]]+Table15[[#This Row],[2243711990.0000]]</f>
        <v>0</v>
      </c>
      <c r="F85" s="84">
        <f>Table15[[#This Row],[3295785430.0000]]/درآمدها!$C$12</f>
        <v>0</v>
      </c>
      <c r="G85" s="35">
        <v>0</v>
      </c>
      <c r="H85" s="35">
        <v>0</v>
      </c>
      <c r="I85" s="83">
        <v>584234</v>
      </c>
      <c r="J85" s="83">
        <f>Table15[[#This Row],[2764670768.0000]]+Table15[[#This Row],[Column9]]+Table15[[#This Row],[Column7]]</f>
        <v>584234</v>
      </c>
      <c r="K85" s="84">
        <f>Table15[[#This Row],[5008382758.0000]]/درآمدها!$C$12</f>
        <v>8.1526524335778102E-5</v>
      </c>
    </row>
    <row r="86" spans="1:11" ht="23.1" customHeight="1" x14ac:dyDescent="0.45">
      <c r="A86" s="82" t="s">
        <v>154</v>
      </c>
      <c r="B86" s="35">
        <v>0</v>
      </c>
      <c r="C86" s="35">
        <v>0</v>
      </c>
      <c r="D86" s="35">
        <v>0</v>
      </c>
      <c r="E86" s="35">
        <f>Table15[[#This Row],[0]]+Table15[[#This Row],[1052073440.0000]]+Table15[[#This Row],[2243711990.0000]]</f>
        <v>0</v>
      </c>
      <c r="F86" s="84">
        <f>Table15[[#This Row],[3295785430.0000]]/درآمدها!$C$12</f>
        <v>0</v>
      </c>
      <c r="G86" s="35">
        <v>0</v>
      </c>
      <c r="H86" s="83">
        <v>-2918734281</v>
      </c>
      <c r="I86" s="83">
        <v>-2339599480</v>
      </c>
      <c r="J86" s="83">
        <f>Table15[[#This Row],[2764670768.0000]]+Table15[[#This Row],[Column9]]+Table15[[#This Row],[Column7]]</f>
        <v>-5258333761</v>
      </c>
      <c r="K86" s="84">
        <f>Table15[[#This Row],[5008382758.0000]]/درآمدها!$C$12</f>
        <v>-0.73377050177122538</v>
      </c>
    </row>
    <row r="87" spans="1:11" ht="23.1" customHeight="1" x14ac:dyDescent="0.45">
      <c r="A87" s="82" t="s">
        <v>58</v>
      </c>
      <c r="B87" s="35">
        <v>0</v>
      </c>
      <c r="C87" s="35">
        <v>0</v>
      </c>
      <c r="D87" s="35">
        <v>0</v>
      </c>
      <c r="E87" s="35">
        <f>Table15[[#This Row],[0]]+Table15[[#This Row],[1052073440.0000]]+Table15[[#This Row],[2243711990.0000]]</f>
        <v>0</v>
      </c>
      <c r="F87" s="84">
        <f>Table15[[#This Row],[3295785430.0000]]/درآمدها!$C$12</f>
        <v>0</v>
      </c>
      <c r="G87" s="35">
        <v>0</v>
      </c>
      <c r="H87" s="35">
        <v>0</v>
      </c>
      <c r="I87" s="83">
        <v>110061</v>
      </c>
      <c r="J87" s="83">
        <f>Table15[[#This Row],[2764670768.0000]]+Table15[[#This Row],[Column9]]+Table15[[#This Row],[Column7]]</f>
        <v>110061</v>
      </c>
      <c r="K87" s="84">
        <f>Table15[[#This Row],[5008382758.0000]]/درآمدها!$C$12</f>
        <v>1.535838515889194E-5</v>
      </c>
    </row>
    <row r="88" spans="1:11" ht="23.1" customHeight="1" x14ac:dyDescent="0.45">
      <c r="A88" s="82" t="s">
        <v>59</v>
      </c>
      <c r="B88" s="35">
        <v>0</v>
      </c>
      <c r="C88" s="35">
        <v>0</v>
      </c>
      <c r="D88" s="35">
        <v>0</v>
      </c>
      <c r="E88" s="35">
        <f>Table15[[#This Row],[0]]+Table15[[#This Row],[1052073440.0000]]+Table15[[#This Row],[2243711990.0000]]</f>
        <v>0</v>
      </c>
      <c r="F88" s="84">
        <f>Table15[[#This Row],[3295785430.0000]]/درآمدها!$C$12</f>
        <v>0</v>
      </c>
      <c r="G88" s="35">
        <v>0</v>
      </c>
      <c r="H88" s="83">
        <v>1281813445</v>
      </c>
      <c r="I88" s="83">
        <v>1128252683</v>
      </c>
      <c r="J88" s="83">
        <f>Table15[[#This Row],[2764670768.0000]]+Table15[[#This Row],[Column9]]+Table15[[#This Row],[Column7]]</f>
        <v>2410066128</v>
      </c>
      <c r="K88" s="84">
        <f>Table15[[#This Row],[5008382758.0000]]/درآمدها!$C$12</f>
        <v>0.33631098983494029</v>
      </c>
    </row>
    <row r="89" spans="1:11" ht="23.1" customHeight="1" x14ac:dyDescent="0.45">
      <c r="A89" s="82" t="s">
        <v>252</v>
      </c>
      <c r="B89" s="35">
        <v>0</v>
      </c>
      <c r="C89" s="35">
        <v>0</v>
      </c>
      <c r="D89" s="35">
        <v>0</v>
      </c>
      <c r="E89" s="35">
        <f>Table15[[#This Row],[0]]+Table15[[#This Row],[1052073440.0000]]+Table15[[#This Row],[2243711990.0000]]</f>
        <v>0</v>
      </c>
      <c r="F89" s="84">
        <f>Table15[[#This Row],[3295785430.0000]]/درآمدها!$C$12</f>
        <v>0</v>
      </c>
      <c r="G89" s="35">
        <v>0</v>
      </c>
      <c r="H89" s="83">
        <v>-827031764</v>
      </c>
      <c r="I89" s="35">
        <v>0</v>
      </c>
      <c r="J89" s="83">
        <f>Table15[[#This Row],[2764670768.0000]]+Table15[[#This Row],[Column9]]+Table15[[#This Row],[Column7]]</f>
        <v>-827031764</v>
      </c>
      <c r="K89" s="84">
        <f>Table15[[#This Row],[5008382758.0000]]/درآمدها!$C$12</f>
        <v>-0.11540756825896387</v>
      </c>
    </row>
    <row r="90" spans="1:11" ht="23.1" customHeight="1" x14ac:dyDescent="0.45">
      <c r="A90" s="82" t="s">
        <v>253</v>
      </c>
      <c r="B90" s="35">
        <v>0</v>
      </c>
      <c r="C90" s="35">
        <v>0</v>
      </c>
      <c r="D90" s="35">
        <v>0</v>
      </c>
      <c r="E90" s="35">
        <f>Table15[[#This Row],[0]]+Table15[[#This Row],[1052073440.0000]]+Table15[[#This Row],[2243711990.0000]]</f>
        <v>0</v>
      </c>
      <c r="F90" s="84">
        <f>Table15[[#This Row],[3295785430.0000]]/درآمدها!$C$12</f>
        <v>0</v>
      </c>
      <c r="G90" s="35">
        <v>0</v>
      </c>
      <c r="H90" s="83">
        <v>-224353547</v>
      </c>
      <c r="I90" s="35">
        <v>0</v>
      </c>
      <c r="J90" s="83">
        <f>Table15[[#This Row],[2764670768.0000]]+Table15[[#This Row],[Column9]]+Table15[[#This Row],[Column7]]</f>
        <v>-224353547</v>
      </c>
      <c r="K90" s="84">
        <f>Table15[[#This Row],[5008382758.0000]]/درآمدها!$C$12</f>
        <v>-3.130725858014706E-2</v>
      </c>
    </row>
    <row r="91" spans="1:11" ht="23.1" customHeight="1" x14ac:dyDescent="0.45">
      <c r="A91" s="82" t="s">
        <v>155</v>
      </c>
      <c r="B91" s="35">
        <v>0</v>
      </c>
      <c r="C91" s="35">
        <v>0</v>
      </c>
      <c r="D91" s="35">
        <v>0</v>
      </c>
      <c r="E91" s="35">
        <f>Table15[[#This Row],[0]]+Table15[[#This Row],[1052073440.0000]]+Table15[[#This Row],[2243711990.0000]]</f>
        <v>0</v>
      </c>
      <c r="F91" s="84">
        <f>Table15[[#This Row],[3295785430.0000]]/درآمدها!$C$12</f>
        <v>0</v>
      </c>
      <c r="G91" s="35">
        <v>0</v>
      </c>
      <c r="H91" s="35">
        <v>0</v>
      </c>
      <c r="I91" s="83">
        <v>314957801</v>
      </c>
      <c r="J91" s="83">
        <f>Table15[[#This Row],[2764670768.0000]]+Table15[[#This Row],[Column9]]+Table15[[#This Row],[Column7]]</f>
        <v>314957801</v>
      </c>
      <c r="K91" s="84">
        <f>Table15[[#This Row],[5008382758.0000]]/درآمدها!$C$12</f>
        <v>4.3950565745864936E-2</v>
      </c>
    </row>
    <row r="92" spans="1:11" ht="23.1" customHeight="1" x14ac:dyDescent="0.45">
      <c r="A92" s="82" t="s">
        <v>242</v>
      </c>
      <c r="B92" s="35">
        <v>0</v>
      </c>
      <c r="C92" s="35">
        <v>0</v>
      </c>
      <c r="D92" s="35">
        <v>0</v>
      </c>
      <c r="E92" s="35">
        <f>Table15[[#This Row],[0]]+Table15[[#This Row],[1052073440.0000]]+Table15[[#This Row],[2243711990.0000]]</f>
        <v>0</v>
      </c>
      <c r="F92" s="84">
        <f>Table15[[#This Row],[3295785430.0000]]/درآمدها!$C$12</f>
        <v>0</v>
      </c>
      <c r="G92" s="35">
        <v>0</v>
      </c>
      <c r="H92" s="35">
        <v>0</v>
      </c>
      <c r="I92" s="83">
        <v>12141240</v>
      </c>
      <c r="J92" s="83">
        <f>Table15[[#This Row],[2764670768.0000]]+Table15[[#This Row],[Column9]]+Table15[[#This Row],[Column7]]</f>
        <v>12141240</v>
      </c>
      <c r="K92" s="84">
        <f>Table15[[#This Row],[5008382758.0000]]/درآمدها!$C$12</f>
        <v>1.6942408321434948E-3</v>
      </c>
    </row>
    <row r="93" spans="1:11" ht="23.1" customHeight="1" x14ac:dyDescent="0.45">
      <c r="A93" s="82" t="s">
        <v>245</v>
      </c>
      <c r="B93" s="35">
        <v>0</v>
      </c>
      <c r="C93" s="35">
        <v>0</v>
      </c>
      <c r="D93" s="35">
        <v>0</v>
      </c>
      <c r="E93" s="35">
        <f>Table15[[#This Row],[0]]+Table15[[#This Row],[1052073440.0000]]+Table15[[#This Row],[2243711990.0000]]</f>
        <v>0</v>
      </c>
      <c r="F93" s="84">
        <f>Table15[[#This Row],[3295785430.0000]]/درآمدها!$C$12</f>
        <v>0</v>
      </c>
      <c r="G93" s="35">
        <v>0</v>
      </c>
      <c r="H93" s="35">
        <v>0</v>
      </c>
      <c r="I93" s="83">
        <v>-124828594</v>
      </c>
      <c r="J93" s="83">
        <f>Table15[[#This Row],[2764670768.0000]]+Table15[[#This Row],[Column9]]+Table15[[#This Row],[Column7]]</f>
        <v>-124828594</v>
      </c>
      <c r="K93" s="84">
        <f>Table15[[#This Row],[5008382758.0000]]/درآمدها!$C$12</f>
        <v>-1.74191187204818E-2</v>
      </c>
    </row>
    <row r="94" spans="1:11" ht="23.1" customHeight="1" x14ac:dyDescent="0.45">
      <c r="A94" s="82" t="s">
        <v>247</v>
      </c>
      <c r="B94" s="35">
        <v>0</v>
      </c>
      <c r="C94" s="35">
        <v>0</v>
      </c>
      <c r="D94" s="35">
        <v>0</v>
      </c>
      <c r="E94" s="35">
        <f>Table15[[#This Row],[0]]+Table15[[#This Row],[1052073440.0000]]+Table15[[#This Row],[2243711990.0000]]</f>
        <v>0</v>
      </c>
      <c r="F94" s="84">
        <f>Table15[[#This Row],[3295785430.0000]]/درآمدها!$C$12</f>
        <v>0</v>
      </c>
      <c r="G94" s="35">
        <v>0</v>
      </c>
      <c r="H94" s="35">
        <v>0</v>
      </c>
      <c r="I94" s="83">
        <v>17841986</v>
      </c>
      <c r="J94" s="83">
        <f>Table15[[#This Row],[2764670768.0000]]+Table15[[#This Row],[Column9]]+Table15[[#This Row],[Column7]]</f>
        <v>17841986</v>
      </c>
      <c r="K94" s="84">
        <f>Table15[[#This Row],[5008382758.0000]]/درآمدها!$C$12</f>
        <v>2.4897474399429207E-3</v>
      </c>
    </row>
    <row r="95" spans="1:11" ht="23.1" customHeight="1" x14ac:dyDescent="0.45">
      <c r="A95" s="82" t="s">
        <v>156</v>
      </c>
      <c r="B95" s="35">
        <v>0</v>
      </c>
      <c r="C95" s="35">
        <v>0</v>
      </c>
      <c r="D95" s="35">
        <v>0</v>
      </c>
      <c r="E95" s="35">
        <f>Table15[[#This Row],[0]]+Table15[[#This Row],[1052073440.0000]]+Table15[[#This Row],[2243711990.0000]]</f>
        <v>0</v>
      </c>
      <c r="F95" s="84">
        <f>Table15[[#This Row],[3295785430.0000]]/درآمدها!$C$12</f>
        <v>0</v>
      </c>
      <c r="G95" s="35">
        <v>0</v>
      </c>
      <c r="H95" s="35">
        <v>0</v>
      </c>
      <c r="I95" s="83">
        <v>34531222</v>
      </c>
      <c r="J95" s="83">
        <f>Table15[[#This Row],[2764670768.0000]]+Table15[[#This Row],[Column9]]+Table15[[#This Row],[Column7]]</f>
        <v>34531222</v>
      </c>
      <c r="K95" s="84">
        <f>Table15[[#This Row],[5008382758.0000]]/درآمدها!$C$12</f>
        <v>4.8186351885154853E-3</v>
      </c>
    </row>
    <row r="96" spans="1:11" ht="23.1" customHeight="1" x14ac:dyDescent="0.45">
      <c r="A96" s="82" t="s">
        <v>186</v>
      </c>
      <c r="B96" s="35">
        <v>0</v>
      </c>
      <c r="C96" s="35">
        <v>0</v>
      </c>
      <c r="D96" s="35">
        <v>0</v>
      </c>
      <c r="E96" s="35">
        <f>Table15[[#This Row],[0]]+Table15[[#This Row],[1052073440.0000]]+Table15[[#This Row],[2243711990.0000]]</f>
        <v>0</v>
      </c>
      <c r="F96" s="84">
        <f>Table15[[#This Row],[3295785430.0000]]/درآمدها!$C$12</f>
        <v>0</v>
      </c>
      <c r="G96" s="35">
        <v>0</v>
      </c>
      <c r="H96" s="35">
        <v>0</v>
      </c>
      <c r="I96" s="83">
        <v>2624157818</v>
      </c>
      <c r="J96" s="83">
        <f>Table15[[#This Row],[2764670768.0000]]+Table15[[#This Row],[Column9]]+Table15[[#This Row],[Column7]]</f>
        <v>2624157818</v>
      </c>
      <c r="K96" s="84">
        <f>Table15[[#This Row],[5008382758.0000]]/درآمدها!$C$12</f>
        <v>0.36618626476736954</v>
      </c>
    </row>
    <row r="97" spans="1:11" ht="23.1" customHeight="1" x14ac:dyDescent="0.45">
      <c r="A97" s="82" t="s">
        <v>244</v>
      </c>
      <c r="B97" s="35">
        <v>0</v>
      </c>
      <c r="C97" s="35">
        <v>0</v>
      </c>
      <c r="D97" s="35">
        <v>0</v>
      </c>
      <c r="E97" s="35">
        <f>Table15[[#This Row],[0]]+Table15[[#This Row],[1052073440.0000]]+Table15[[#This Row],[2243711990.0000]]</f>
        <v>0</v>
      </c>
      <c r="F97" s="84">
        <f>Table15[[#This Row],[3295785430.0000]]/درآمدها!$C$12</f>
        <v>0</v>
      </c>
      <c r="G97" s="35">
        <v>0</v>
      </c>
      <c r="H97" s="35">
        <v>0</v>
      </c>
      <c r="I97" s="83">
        <v>623532510</v>
      </c>
      <c r="J97" s="83">
        <f>Table15[[#This Row],[2764670768.0000]]+Table15[[#This Row],[Column9]]+Table15[[#This Row],[Column7]]</f>
        <v>623532510</v>
      </c>
      <c r="K97" s="84">
        <f>Table15[[#This Row],[5008382758.0000]]/درآمدها!$C$12</f>
        <v>8.7010407389271766E-2</v>
      </c>
    </row>
    <row r="98" spans="1:11" ht="23.1" customHeight="1" x14ac:dyDescent="0.45">
      <c r="A98" s="82" t="s">
        <v>248</v>
      </c>
      <c r="B98" s="35">
        <v>0</v>
      </c>
      <c r="C98" s="35">
        <v>0</v>
      </c>
      <c r="D98" s="35">
        <v>0</v>
      </c>
      <c r="E98" s="35">
        <f>Table15[[#This Row],[0]]+Table15[[#This Row],[1052073440.0000]]+Table15[[#This Row],[2243711990.0000]]</f>
        <v>0</v>
      </c>
      <c r="F98" s="84">
        <f>Table15[[#This Row],[3295785430.0000]]/درآمدها!$C$12</f>
        <v>0</v>
      </c>
      <c r="G98" s="35">
        <v>0</v>
      </c>
      <c r="H98" s="35">
        <v>0</v>
      </c>
      <c r="I98" s="83">
        <v>-313907936</v>
      </c>
      <c r="J98" s="83">
        <f>Table15[[#This Row],[2764670768.0000]]+Table15[[#This Row],[Column9]]+Table15[[#This Row],[Column7]]</f>
        <v>-313907936</v>
      </c>
      <c r="K98" s="84">
        <f>Table15[[#This Row],[5008382758.0000]]/درآمدها!$C$12</f>
        <v>-4.3804063069759508E-2</v>
      </c>
    </row>
    <row r="99" spans="1:11" ht="23.1" customHeight="1" x14ac:dyDescent="0.45">
      <c r="A99" s="82" t="s">
        <v>217</v>
      </c>
      <c r="B99" s="35">
        <v>0</v>
      </c>
      <c r="C99" s="35">
        <v>0</v>
      </c>
      <c r="D99" s="35">
        <v>0</v>
      </c>
      <c r="E99" s="35">
        <f>Table15[[#This Row],[0]]+Table15[[#This Row],[1052073440.0000]]+Table15[[#This Row],[2243711990.0000]]</f>
        <v>0</v>
      </c>
      <c r="F99" s="84">
        <f>Table15[[#This Row],[3295785430.0000]]/درآمدها!$C$12</f>
        <v>0</v>
      </c>
      <c r="G99" s="35">
        <v>0</v>
      </c>
      <c r="H99" s="83">
        <v>397180391</v>
      </c>
      <c r="I99" s="83">
        <v>-6768853991</v>
      </c>
      <c r="J99" s="83">
        <f>Table15[[#This Row],[2764670768.0000]]+Table15[[#This Row],[Column9]]+Table15[[#This Row],[Column7]]</f>
        <v>-6371673600</v>
      </c>
      <c r="K99" s="84">
        <f>Table15[[#This Row],[5008382758.0000]]/درآمدها!$C$12</f>
        <v>-0.88913072982749186</v>
      </c>
    </row>
    <row r="100" spans="1:11" ht="23.1" customHeight="1" x14ac:dyDescent="0.45">
      <c r="A100" s="82" t="s">
        <v>174</v>
      </c>
      <c r="B100" s="35">
        <v>0</v>
      </c>
      <c r="C100" s="35">
        <v>0</v>
      </c>
      <c r="D100" s="35">
        <v>0</v>
      </c>
      <c r="E100" s="35">
        <f>Table15[[#This Row],[0]]+Table15[[#This Row],[1052073440.0000]]+Table15[[#This Row],[2243711990.0000]]</f>
        <v>0</v>
      </c>
      <c r="F100" s="84">
        <f>Table15[[#This Row],[3295785430.0000]]/درآمدها!$C$12</f>
        <v>0</v>
      </c>
      <c r="G100" s="35">
        <v>0</v>
      </c>
      <c r="H100" s="35">
        <v>0</v>
      </c>
      <c r="I100" s="83">
        <v>5768142982</v>
      </c>
      <c r="J100" s="83">
        <f>Table15[[#This Row],[2764670768.0000]]+Table15[[#This Row],[Column9]]+Table15[[#This Row],[Column7]]</f>
        <v>5768142982</v>
      </c>
      <c r="K100" s="84">
        <f>Table15[[#This Row],[5008382758.0000]]/درآمدها!$C$12</f>
        <v>0.80491147244814698</v>
      </c>
    </row>
    <row r="101" spans="1:11" ht="23.1" customHeight="1" x14ac:dyDescent="0.45">
      <c r="A101" s="82" t="s">
        <v>183</v>
      </c>
      <c r="B101" s="35">
        <v>0</v>
      </c>
      <c r="C101" s="35">
        <v>0</v>
      </c>
      <c r="D101" s="35">
        <v>0</v>
      </c>
      <c r="E101" s="35">
        <f>Table15[[#This Row],[0]]+Table15[[#This Row],[1052073440.0000]]+Table15[[#This Row],[2243711990.0000]]</f>
        <v>0</v>
      </c>
      <c r="F101" s="84">
        <f>Table15[[#This Row],[3295785430.0000]]/درآمدها!$C$12</f>
        <v>0</v>
      </c>
      <c r="G101" s="35">
        <v>0</v>
      </c>
      <c r="H101" s="83">
        <v>-1272283360</v>
      </c>
      <c r="I101" s="83">
        <v>811363910</v>
      </c>
      <c r="J101" s="83">
        <f>Table15[[#This Row],[2764670768.0000]]+Table15[[#This Row],[Column9]]+Table15[[#This Row],[Column7]]</f>
        <v>-460919450</v>
      </c>
      <c r="K101" s="84">
        <f>Table15[[#This Row],[5008382758.0000]]/درآمدها!$C$12</f>
        <v>-6.4318681824848359E-2</v>
      </c>
    </row>
    <row r="102" spans="1:11" ht="23.1" customHeight="1" x14ac:dyDescent="0.45">
      <c r="A102" s="82" t="s">
        <v>157</v>
      </c>
      <c r="B102" s="35">
        <v>0</v>
      </c>
      <c r="C102" s="35">
        <v>0</v>
      </c>
      <c r="D102" s="35">
        <v>0</v>
      </c>
      <c r="E102" s="35">
        <f>Table15[[#This Row],[0]]+Table15[[#This Row],[1052073440.0000]]+Table15[[#This Row],[2243711990.0000]]</f>
        <v>0</v>
      </c>
      <c r="F102" s="84">
        <f>Table15[[#This Row],[3295785430.0000]]/درآمدها!$C$12</f>
        <v>0</v>
      </c>
      <c r="G102" s="35">
        <v>0</v>
      </c>
      <c r="H102" s="35">
        <v>0</v>
      </c>
      <c r="I102" s="83">
        <v>-2684304122</v>
      </c>
      <c r="J102" s="83">
        <f>Table15[[#This Row],[2764670768.0000]]+Table15[[#This Row],[Column9]]+Table15[[#This Row],[Column7]]</f>
        <v>-2684304122</v>
      </c>
      <c r="K102" s="84">
        <f>Table15[[#This Row],[5008382758.0000]]/درآمدها!$C$12</f>
        <v>-0.37457933863291504</v>
      </c>
    </row>
    <row r="103" spans="1:11" ht="23.1" customHeight="1" x14ac:dyDescent="0.45">
      <c r="A103" s="82" t="s">
        <v>173</v>
      </c>
      <c r="B103" s="35">
        <v>0</v>
      </c>
      <c r="C103" s="35">
        <v>0</v>
      </c>
      <c r="D103" s="35">
        <v>0</v>
      </c>
      <c r="E103" s="35">
        <f>Table15[[#This Row],[0]]+Table15[[#This Row],[1052073440.0000]]+Table15[[#This Row],[2243711990.0000]]</f>
        <v>0</v>
      </c>
      <c r="F103" s="84">
        <f>Table15[[#This Row],[3295785430.0000]]/درآمدها!$C$12</f>
        <v>0</v>
      </c>
      <c r="G103" s="35">
        <v>0</v>
      </c>
      <c r="H103" s="35">
        <v>0</v>
      </c>
      <c r="I103" s="83">
        <v>586256546</v>
      </c>
      <c r="J103" s="83">
        <f>Table15[[#This Row],[2764670768.0000]]+Table15[[#This Row],[Column9]]+Table15[[#This Row],[Column7]]</f>
        <v>586256546</v>
      </c>
      <c r="K103" s="84">
        <f>Table15[[#This Row],[5008382758.0000]]/درآمدها!$C$12</f>
        <v>8.1808759100768208E-2</v>
      </c>
    </row>
    <row r="104" spans="1:11" ht="23.1" customHeight="1" x14ac:dyDescent="0.45">
      <c r="A104" s="82" t="s">
        <v>158</v>
      </c>
      <c r="B104" s="35">
        <v>0</v>
      </c>
      <c r="C104" s="35">
        <v>0</v>
      </c>
      <c r="D104" s="35">
        <v>0</v>
      </c>
      <c r="E104" s="35">
        <f>Table15[[#This Row],[0]]+Table15[[#This Row],[1052073440.0000]]+Table15[[#This Row],[2243711990.0000]]</f>
        <v>0</v>
      </c>
      <c r="F104" s="84">
        <f>Table15[[#This Row],[3295785430.0000]]/درآمدها!$C$12</f>
        <v>0</v>
      </c>
      <c r="G104" s="35">
        <v>0</v>
      </c>
      <c r="H104" s="83">
        <v>-275833788</v>
      </c>
      <c r="I104" s="83">
        <v>-4029631265</v>
      </c>
      <c r="J104" s="83">
        <f>Table15[[#This Row],[2764670768.0000]]+Table15[[#This Row],[Column9]]+Table15[[#This Row],[Column7]]</f>
        <v>-4305465053</v>
      </c>
      <c r="K104" s="84">
        <f>Table15[[#This Row],[5008382758.0000]]/درآمدها!$C$12</f>
        <v>-0.60080310529727243</v>
      </c>
    </row>
    <row r="105" spans="1:11" ht="23.1" customHeight="1" x14ac:dyDescent="0.45">
      <c r="A105" s="82" t="s">
        <v>194</v>
      </c>
      <c r="B105" s="35">
        <v>0</v>
      </c>
      <c r="C105" s="35">
        <v>0</v>
      </c>
      <c r="D105" s="35">
        <v>0</v>
      </c>
      <c r="E105" s="35">
        <f>Table15[[#This Row],[0]]+Table15[[#This Row],[1052073440.0000]]+Table15[[#This Row],[2243711990.0000]]</f>
        <v>0</v>
      </c>
      <c r="F105" s="84">
        <f>Table15[[#This Row],[3295785430.0000]]/درآمدها!$C$12</f>
        <v>0</v>
      </c>
      <c r="G105" s="35">
        <v>0</v>
      </c>
      <c r="H105" s="35">
        <v>0</v>
      </c>
      <c r="I105" s="83">
        <v>-1878735818</v>
      </c>
      <c r="J105" s="83">
        <f>Table15[[#This Row],[2764670768.0000]]+Table15[[#This Row],[Column9]]+Table15[[#This Row],[Column7]]</f>
        <v>-1878735818</v>
      </c>
      <c r="K105" s="84">
        <f>Table15[[#This Row],[5008382758.0000]]/درآمدها!$C$12</f>
        <v>-0.26216687386676396</v>
      </c>
    </row>
    <row r="106" spans="1:11" ht="23.1" customHeight="1" x14ac:dyDescent="0.45">
      <c r="A106" s="82" t="s">
        <v>218</v>
      </c>
      <c r="B106" s="35">
        <v>0</v>
      </c>
      <c r="C106" s="35">
        <v>0</v>
      </c>
      <c r="D106" s="35">
        <v>0</v>
      </c>
      <c r="E106" s="35">
        <f>Table15[[#This Row],[0]]+Table15[[#This Row],[1052073440.0000]]+Table15[[#This Row],[2243711990.0000]]</f>
        <v>0</v>
      </c>
      <c r="F106" s="84">
        <f>Table15[[#This Row],[3295785430.0000]]/درآمدها!$C$12</f>
        <v>0</v>
      </c>
      <c r="G106" s="35">
        <v>0</v>
      </c>
      <c r="H106" s="83">
        <v>-3556888603</v>
      </c>
      <c r="I106" s="35">
        <v>0</v>
      </c>
      <c r="J106" s="83">
        <f>Table15[[#This Row],[2764670768.0000]]+Table15[[#This Row],[Column9]]+Table15[[#This Row],[Column7]]</f>
        <v>-3556888603</v>
      </c>
      <c r="K106" s="84">
        <f>Table15[[#This Row],[5008382758.0000]]/درآمدها!$C$12</f>
        <v>-0.49634352888077599</v>
      </c>
    </row>
    <row r="107" spans="1:11" ht="23.1" customHeight="1" x14ac:dyDescent="0.45">
      <c r="A107" s="82" t="s">
        <v>254</v>
      </c>
      <c r="B107" s="35">
        <v>0</v>
      </c>
      <c r="C107" s="35">
        <v>0</v>
      </c>
      <c r="D107" s="35">
        <v>0</v>
      </c>
      <c r="E107" s="35">
        <f>Table15[[#This Row],[0]]+Table15[[#This Row],[1052073440.0000]]+Table15[[#This Row],[2243711990.0000]]</f>
        <v>0</v>
      </c>
      <c r="F107" s="84">
        <f>Table15[[#This Row],[3295785430.0000]]/درآمدها!$C$12</f>
        <v>0</v>
      </c>
      <c r="G107" s="35">
        <v>0</v>
      </c>
      <c r="H107" s="83">
        <v>113206288</v>
      </c>
      <c r="I107" s="35">
        <v>0</v>
      </c>
      <c r="J107" s="83">
        <f>Table15[[#This Row],[2764670768.0000]]+Table15[[#This Row],[Column9]]+Table15[[#This Row],[Column7]]</f>
        <v>113206288</v>
      </c>
      <c r="K107" s="84">
        <f>Table15[[#This Row],[5008382758.0000]]/درآمدها!$C$12</f>
        <v>1.5797292169909837E-2</v>
      </c>
    </row>
    <row r="108" spans="1:11" ht="23.1" customHeight="1" x14ac:dyDescent="0.45">
      <c r="A108" s="82" t="s">
        <v>223</v>
      </c>
      <c r="B108" s="35">
        <v>0</v>
      </c>
      <c r="C108" s="35">
        <v>0</v>
      </c>
      <c r="D108" s="35">
        <v>0</v>
      </c>
      <c r="E108" s="35">
        <f>Table15[[#This Row],[0]]+Table15[[#This Row],[1052073440.0000]]+Table15[[#This Row],[2243711990.0000]]</f>
        <v>0</v>
      </c>
      <c r="F108" s="84">
        <f>Table15[[#This Row],[3295785430.0000]]/درآمدها!$C$12</f>
        <v>0</v>
      </c>
      <c r="G108" s="35">
        <v>0</v>
      </c>
      <c r="H108" s="83">
        <v>-362767945</v>
      </c>
      <c r="I108" s="35">
        <v>0</v>
      </c>
      <c r="J108" s="83">
        <f>Table15[[#This Row],[2764670768.0000]]+Table15[[#This Row],[Column9]]+Table15[[#This Row],[Column7]]</f>
        <v>-362767945</v>
      </c>
      <c r="K108" s="84">
        <f>Table15[[#This Row],[5008382758.0000]]/درآمدها!$C$12</f>
        <v>-5.062219880438782E-2</v>
      </c>
    </row>
    <row r="109" spans="1:11" ht="23.1" customHeight="1" x14ac:dyDescent="0.45">
      <c r="A109" s="82" t="s">
        <v>258</v>
      </c>
      <c r="B109" s="35">
        <v>0</v>
      </c>
      <c r="C109" s="35">
        <v>0</v>
      </c>
      <c r="D109" s="35">
        <v>0</v>
      </c>
      <c r="E109" s="35">
        <f>Table15[[#This Row],[0]]+Table15[[#This Row],[1052073440.0000]]+Table15[[#This Row],[2243711990.0000]]</f>
        <v>0</v>
      </c>
      <c r="F109" s="84">
        <f>Table15[[#This Row],[3295785430.0000]]/درآمدها!$C$12</f>
        <v>0</v>
      </c>
      <c r="G109" s="35">
        <v>0</v>
      </c>
      <c r="H109" s="83">
        <v>-2256858634</v>
      </c>
      <c r="I109" s="35">
        <v>0</v>
      </c>
      <c r="J109" s="83">
        <f>Table15[[#This Row],[2764670768.0000]]+Table15[[#This Row],[Column9]]+Table15[[#This Row],[Column7]]</f>
        <v>-2256858634</v>
      </c>
      <c r="K109" s="84">
        <f>Table15[[#This Row],[5008382758.0000]]/درآمدها!$C$12</f>
        <v>-0.31493175739038115</v>
      </c>
    </row>
    <row r="110" spans="1:11" ht="23.1" customHeight="1" x14ac:dyDescent="0.45">
      <c r="A110" s="82" t="s">
        <v>260</v>
      </c>
      <c r="B110" s="35">
        <v>0</v>
      </c>
      <c r="C110" s="35">
        <v>0</v>
      </c>
      <c r="D110" s="35">
        <v>0</v>
      </c>
      <c r="E110" s="35">
        <f>Table15[[#This Row],[0]]+Table15[[#This Row],[1052073440.0000]]+Table15[[#This Row],[2243711990.0000]]</f>
        <v>0</v>
      </c>
      <c r="F110" s="84">
        <f>Table15[[#This Row],[3295785430.0000]]/درآمدها!$C$12</f>
        <v>0</v>
      </c>
      <c r="G110" s="35">
        <v>0</v>
      </c>
      <c r="H110" s="83">
        <v>-224926365</v>
      </c>
      <c r="I110" s="83">
        <v>-2827258522</v>
      </c>
      <c r="J110" s="83">
        <f>Table15[[#This Row],[2764670768.0000]]+Table15[[#This Row],[Column9]]+Table15[[#This Row],[Column7]]</f>
        <v>-3052184887</v>
      </c>
      <c r="K110" s="84">
        <f>Table15[[#This Row],[5008382758.0000]]/درآمدها!$C$12</f>
        <v>-0.42591500232321233</v>
      </c>
    </row>
    <row r="111" spans="1:11" ht="23.1" customHeight="1" x14ac:dyDescent="0.45">
      <c r="A111" s="82" t="s">
        <v>246</v>
      </c>
      <c r="B111" s="35">
        <v>0</v>
      </c>
      <c r="C111" s="35">
        <v>0</v>
      </c>
      <c r="D111" s="35">
        <v>0</v>
      </c>
      <c r="E111" s="35">
        <f>Table15[[#This Row],[0]]+Table15[[#This Row],[1052073440.0000]]+Table15[[#This Row],[2243711990.0000]]</f>
        <v>0</v>
      </c>
      <c r="F111" s="84">
        <f>Table15[[#This Row],[3295785430.0000]]/درآمدها!$C$12</f>
        <v>0</v>
      </c>
      <c r="G111" s="35">
        <v>0</v>
      </c>
      <c r="H111" s="35">
        <v>0</v>
      </c>
      <c r="I111" s="83">
        <v>21640188</v>
      </c>
      <c r="J111" s="83">
        <f>Table15[[#This Row],[2764670768.0000]]+Table15[[#This Row],[Column9]]+Table15[[#This Row],[Column7]]</f>
        <v>21640188</v>
      </c>
      <c r="K111" s="84">
        <f>Table15[[#This Row],[5008382758.0000]]/درآمدها!$C$12</f>
        <v>3.0197648777935096E-3</v>
      </c>
    </row>
    <row r="112" spans="1:11" ht="23.1" customHeight="1" x14ac:dyDescent="0.45">
      <c r="A112" s="82" t="s">
        <v>243</v>
      </c>
      <c r="B112" s="35">
        <v>0</v>
      </c>
      <c r="C112" s="35">
        <v>0</v>
      </c>
      <c r="D112" s="35">
        <v>0</v>
      </c>
      <c r="E112" s="35">
        <f>Table15[[#This Row],[0]]+Table15[[#This Row],[1052073440.0000]]+Table15[[#This Row],[2243711990.0000]]</f>
        <v>0</v>
      </c>
      <c r="F112" s="84">
        <f>Table15[[#This Row],[3295785430.0000]]/درآمدها!$C$12</f>
        <v>0</v>
      </c>
      <c r="G112" s="35">
        <v>0</v>
      </c>
      <c r="H112" s="35">
        <v>0</v>
      </c>
      <c r="I112" s="83">
        <v>8782145</v>
      </c>
      <c r="J112" s="83">
        <f>Table15[[#This Row],[2764670768.0000]]+Table15[[#This Row],[Column9]]+Table15[[#This Row],[Column7]]</f>
        <v>8782145</v>
      </c>
      <c r="K112" s="84">
        <f>Table15[[#This Row],[5008382758.0000]]/درآمدها!$C$12</f>
        <v>1.2254982730598219E-3</v>
      </c>
    </row>
    <row r="113" spans="1:11" ht="23.1" customHeight="1" x14ac:dyDescent="0.45">
      <c r="A113" s="115" t="s">
        <v>230</v>
      </c>
      <c r="B113" s="35">
        <v>0</v>
      </c>
      <c r="C113" s="35">
        <v>0</v>
      </c>
      <c r="D113" s="35">
        <v>0</v>
      </c>
      <c r="E113" s="35">
        <f>Table15[[#This Row],[0]]+Table15[[#This Row],[1052073440.0000]]+Table15[[#This Row],[2243711990.0000]]</f>
        <v>0</v>
      </c>
      <c r="F113" s="84">
        <f>Table15[[#This Row],[3295785430.0000]]/درآمدها!$C$12</f>
        <v>0</v>
      </c>
      <c r="G113" s="35">
        <v>0</v>
      </c>
      <c r="H113" s="35">
        <v>0</v>
      </c>
      <c r="I113" s="83">
        <v>419312946</v>
      </c>
      <c r="J113" s="83">
        <f>Table15[[#This Row],[2764670768.0000]]+Table15[[#This Row],[Column9]]+Table15[[#This Row],[Column7]]</f>
        <v>419312946</v>
      </c>
      <c r="K113" s="84">
        <f>Table15[[#This Row],[5008382758.0000]]/درآمدها!$C$12</f>
        <v>5.8512731365130771E-2</v>
      </c>
    </row>
    <row r="114" spans="1:11" ht="23.1" customHeight="1" x14ac:dyDescent="0.45">
      <c r="A114" s="82" t="s">
        <v>232</v>
      </c>
      <c r="B114" s="35">
        <v>0</v>
      </c>
      <c r="C114" s="35">
        <v>0</v>
      </c>
      <c r="D114" s="35">
        <v>0</v>
      </c>
      <c r="E114" s="35">
        <f>Table15[[#This Row],[0]]+Table15[[#This Row],[1052073440.0000]]+Table15[[#This Row],[2243711990.0000]]</f>
        <v>0</v>
      </c>
      <c r="F114" s="84">
        <f>Table15[[#This Row],[3295785430.0000]]/درآمدها!$C$12</f>
        <v>0</v>
      </c>
      <c r="G114" s="35">
        <v>0</v>
      </c>
      <c r="H114" s="83">
        <v>-54712874</v>
      </c>
      <c r="I114" s="83">
        <v>7338278</v>
      </c>
      <c r="J114" s="83">
        <f>Table15[[#This Row],[2764670768.0000]]+Table15[[#This Row],[Column9]]+Table15[[#This Row],[Column7]]</f>
        <v>-47374596</v>
      </c>
      <c r="K114" s="84">
        <f>Table15[[#This Row],[5008382758.0000]]/درآمدها!$C$12</f>
        <v>-6.6108548179182585E-3</v>
      </c>
    </row>
    <row r="115" spans="1:11" ht="23.1" customHeight="1" x14ac:dyDescent="0.45">
      <c r="A115" s="82" t="s">
        <v>234</v>
      </c>
      <c r="B115" s="35">
        <v>0</v>
      </c>
      <c r="C115" s="35">
        <v>0</v>
      </c>
      <c r="D115" s="35">
        <v>0</v>
      </c>
      <c r="E115" s="35">
        <f>Table15[[#This Row],[0]]+Table15[[#This Row],[1052073440.0000]]+Table15[[#This Row],[2243711990.0000]]</f>
        <v>0</v>
      </c>
      <c r="F115" s="84">
        <f>Table15[[#This Row],[3295785430.0000]]/درآمدها!$C$12</f>
        <v>0</v>
      </c>
      <c r="G115" s="35">
        <v>0</v>
      </c>
      <c r="H115" s="83">
        <v>-2596072296</v>
      </c>
      <c r="I115" s="35">
        <v>0</v>
      </c>
      <c r="J115" s="83">
        <f>Table15[[#This Row],[2764670768.0000]]+Table15[[#This Row],[Column9]]+Table15[[#This Row],[Column7]]</f>
        <v>-2596072296</v>
      </c>
      <c r="K115" s="84">
        <f>Table15[[#This Row],[5008382758.0000]]/درآمدها!$C$12</f>
        <v>-0.36226709027082188</v>
      </c>
    </row>
    <row r="116" spans="1:11" ht="23.1" customHeight="1" x14ac:dyDescent="0.45">
      <c r="A116" s="82" t="s">
        <v>159</v>
      </c>
      <c r="B116" s="35">
        <v>0</v>
      </c>
      <c r="C116" s="35">
        <v>0</v>
      </c>
      <c r="D116" s="35">
        <v>0</v>
      </c>
      <c r="E116" s="35">
        <f>Table15[[#This Row],[0]]+Table15[[#This Row],[1052073440.0000]]+Table15[[#This Row],[2243711990.0000]]</f>
        <v>0</v>
      </c>
      <c r="F116" s="84">
        <f>Table15[[#This Row],[3295785430.0000]]/درآمدها!$C$12</f>
        <v>0</v>
      </c>
      <c r="G116" s="35">
        <v>0</v>
      </c>
      <c r="H116" s="35">
        <v>0</v>
      </c>
      <c r="I116" s="83">
        <v>-1291494965</v>
      </c>
      <c r="J116" s="83">
        <f>Table15[[#This Row],[2764670768.0000]]+Table15[[#This Row],[Column9]]+Table15[[#This Row],[Column7]]</f>
        <v>-1291494965</v>
      </c>
      <c r="K116" s="84">
        <f>Table15[[#This Row],[5008382758.0000]]/درآمدها!$C$12</f>
        <v>-0.18022076033508386</v>
      </c>
    </row>
    <row r="117" spans="1:11" ht="23.1" customHeight="1" x14ac:dyDescent="0.45">
      <c r="A117" s="82" t="s">
        <v>237</v>
      </c>
      <c r="B117" s="35">
        <v>0</v>
      </c>
      <c r="C117" s="35">
        <v>0</v>
      </c>
      <c r="D117" s="35">
        <v>0</v>
      </c>
      <c r="E117" s="35">
        <f>Table15[[#This Row],[0]]+Table15[[#This Row],[1052073440.0000]]+Table15[[#This Row],[2243711990.0000]]</f>
        <v>0</v>
      </c>
      <c r="F117" s="84">
        <f>Table15[[#This Row],[3295785430.0000]]/درآمدها!$C$12</f>
        <v>0</v>
      </c>
      <c r="G117" s="35">
        <v>0</v>
      </c>
      <c r="H117" s="83">
        <v>-115814311</v>
      </c>
      <c r="I117" s="35">
        <v>0</v>
      </c>
      <c r="J117" s="83">
        <f>Table15[[#This Row],[2764670768.0000]]+Table15[[#This Row],[Column9]]+Table15[[#This Row],[Column7]]</f>
        <v>-115814311</v>
      </c>
      <c r="K117" s="84">
        <f>Table15[[#This Row],[5008382758.0000]]/درآمدها!$C$12</f>
        <v>-1.6161226912800135E-2</v>
      </c>
    </row>
    <row r="118" spans="1:11" ht="23.1" customHeight="1" x14ac:dyDescent="0.45">
      <c r="A118" s="82" t="s">
        <v>238</v>
      </c>
      <c r="B118" s="35">
        <v>0</v>
      </c>
      <c r="C118" s="35">
        <v>0</v>
      </c>
      <c r="D118" s="35">
        <v>0</v>
      </c>
      <c r="E118" s="35">
        <f>Table15[[#This Row],[0]]+Table15[[#This Row],[1052073440.0000]]+Table15[[#This Row],[2243711990.0000]]</f>
        <v>0</v>
      </c>
      <c r="F118" s="84">
        <f>Table15[[#This Row],[3295785430.0000]]/درآمدها!$C$12</f>
        <v>0</v>
      </c>
      <c r="G118" s="35">
        <v>0</v>
      </c>
      <c r="H118" s="83">
        <v>59411186</v>
      </c>
      <c r="I118" s="83">
        <v>113846987</v>
      </c>
      <c r="J118" s="83">
        <f>Table15[[#This Row],[2764670768.0000]]+Table15[[#This Row],[Column9]]+Table15[[#This Row],[Column7]]</f>
        <v>173258173</v>
      </c>
      <c r="K118" s="84">
        <f>Table15[[#This Row],[5008382758.0000]]/درآمدها!$C$12</f>
        <v>2.4177190402230875E-2</v>
      </c>
    </row>
    <row r="119" spans="1:11" ht="23.1" customHeight="1" x14ac:dyDescent="0.45">
      <c r="A119" s="82" t="s">
        <v>269</v>
      </c>
      <c r="B119" s="35">
        <v>0</v>
      </c>
      <c r="C119" s="35">
        <v>0</v>
      </c>
      <c r="D119" s="35">
        <v>0</v>
      </c>
      <c r="E119" s="35">
        <f>Table15[[#This Row],[0]]+Table15[[#This Row],[1052073440.0000]]+Table15[[#This Row],[2243711990.0000]]</f>
        <v>0</v>
      </c>
      <c r="F119" s="84">
        <f>Table15[[#This Row],[3295785430.0000]]/درآمدها!$C$12</f>
        <v>0</v>
      </c>
      <c r="G119" s="35">
        <v>0</v>
      </c>
      <c r="H119" s="35">
        <v>0</v>
      </c>
      <c r="I119" s="83">
        <v>114621815</v>
      </c>
      <c r="J119" s="83">
        <f>Table15[[#This Row],[2764670768.0000]]+Table15[[#This Row],[Column9]]+Table15[[#This Row],[Column7]]</f>
        <v>114621815</v>
      </c>
      <c r="K119" s="84">
        <f>Table15[[#This Row],[5008382758.0000]]/درآمدها!$C$12</f>
        <v>1.5994820893697654E-2</v>
      </c>
    </row>
    <row r="120" spans="1:11" ht="23.1" customHeight="1" x14ac:dyDescent="0.45">
      <c r="A120" s="82" t="s">
        <v>182</v>
      </c>
      <c r="B120" s="35">
        <v>0</v>
      </c>
      <c r="C120" s="35">
        <v>0</v>
      </c>
      <c r="D120" s="35">
        <v>0</v>
      </c>
      <c r="E120" s="35">
        <f>Table15[[#This Row],[0]]+Table15[[#This Row],[1052073440.0000]]+Table15[[#This Row],[2243711990.0000]]</f>
        <v>0</v>
      </c>
      <c r="F120" s="84">
        <f>Table15[[#This Row],[3295785430.0000]]/درآمدها!$C$12</f>
        <v>0</v>
      </c>
      <c r="G120" s="35">
        <v>0</v>
      </c>
      <c r="H120" s="35">
        <v>0</v>
      </c>
      <c r="I120" s="83">
        <v>-190398372</v>
      </c>
      <c r="J120" s="83">
        <f>Table15[[#This Row],[2764670768.0000]]+Table15[[#This Row],[Column9]]+Table15[[#This Row],[Column7]]</f>
        <v>-190398372</v>
      </c>
      <c r="K120" s="84">
        <f>Table15[[#This Row],[5008382758.0000]]/درآمدها!$C$12</f>
        <v>-2.656900746678648E-2</v>
      </c>
    </row>
    <row r="121" spans="1:11" ht="23.1" customHeight="1" x14ac:dyDescent="0.45">
      <c r="A121" s="82" t="s">
        <v>181</v>
      </c>
      <c r="B121" s="35">
        <v>0</v>
      </c>
      <c r="C121" s="35">
        <v>0</v>
      </c>
      <c r="D121" s="35">
        <v>0</v>
      </c>
      <c r="E121" s="35">
        <f>Table15[[#This Row],[0]]+Table15[[#This Row],[1052073440.0000]]+Table15[[#This Row],[2243711990.0000]]</f>
        <v>0</v>
      </c>
      <c r="F121" s="84">
        <f>Table15[[#This Row],[3295785430.0000]]/درآمدها!$C$12</f>
        <v>0</v>
      </c>
      <c r="G121" s="35">
        <v>0</v>
      </c>
      <c r="H121" s="35">
        <v>0</v>
      </c>
      <c r="I121" s="83">
        <v>-40118963</v>
      </c>
      <c r="J121" s="83">
        <f>Table15[[#This Row],[2764670768.0000]]+Table15[[#This Row],[Column9]]+Table15[[#This Row],[Column7]]</f>
        <v>-40118963</v>
      </c>
      <c r="K121" s="84">
        <f>Table15[[#This Row],[5008382758.0000]]/درآمدها!$C$12</f>
        <v>-5.5983725927379801E-3</v>
      </c>
    </row>
    <row r="122" spans="1:11" ht="23.1" customHeight="1" x14ac:dyDescent="0.45">
      <c r="A122" s="82" t="s">
        <v>168</v>
      </c>
      <c r="B122" s="35">
        <v>0</v>
      </c>
      <c r="C122" s="35">
        <v>0</v>
      </c>
      <c r="D122" s="35">
        <v>0</v>
      </c>
      <c r="E122" s="35">
        <f>Table15[[#This Row],[0]]+Table15[[#This Row],[1052073440.0000]]+Table15[[#This Row],[2243711990.0000]]</f>
        <v>0</v>
      </c>
      <c r="F122" s="84">
        <f>Table15[[#This Row],[3295785430.0000]]/درآمدها!$C$12</f>
        <v>0</v>
      </c>
      <c r="G122" s="35">
        <v>0</v>
      </c>
      <c r="H122" s="35">
        <v>0</v>
      </c>
      <c r="I122" s="83">
        <v>2678031682</v>
      </c>
      <c r="J122" s="83">
        <f>Table15[[#This Row],[2764670768.0000]]+Table15[[#This Row],[Column9]]+Table15[[#This Row],[Column7]]</f>
        <v>2678031682</v>
      </c>
      <c r="K122" s="84">
        <f>Table15[[#This Row],[5008382758.0000]]/درآمدها!$C$12</f>
        <v>0.37370405538629686</v>
      </c>
    </row>
    <row r="123" spans="1:11" ht="23.1" customHeight="1" x14ac:dyDescent="0.45">
      <c r="A123" s="82" t="s">
        <v>177</v>
      </c>
      <c r="B123" s="35">
        <v>0</v>
      </c>
      <c r="C123" s="35">
        <v>0</v>
      </c>
      <c r="D123" s="35">
        <v>0</v>
      </c>
      <c r="E123" s="35">
        <f>Table15[[#This Row],[0]]+Table15[[#This Row],[1052073440.0000]]+Table15[[#This Row],[2243711990.0000]]</f>
        <v>0</v>
      </c>
      <c r="F123" s="84">
        <f>Table15[[#This Row],[3295785430.0000]]/درآمدها!$C$12</f>
        <v>0</v>
      </c>
      <c r="G123" s="35">
        <v>0</v>
      </c>
      <c r="H123" s="35">
        <v>0</v>
      </c>
      <c r="I123" s="83">
        <v>737886098</v>
      </c>
      <c r="J123" s="83">
        <f>Table15[[#This Row],[2764670768.0000]]+Table15[[#This Row],[Column9]]+Table15[[#This Row],[Column7]]</f>
        <v>737886098</v>
      </c>
      <c r="K123" s="84">
        <f>Table15[[#This Row],[5008382758.0000]]/درآمدها!$C$12</f>
        <v>0.10296779873411911</v>
      </c>
    </row>
    <row r="124" spans="1:11" ht="23.1" customHeight="1" x14ac:dyDescent="0.45">
      <c r="A124" s="82" t="s">
        <v>164</v>
      </c>
      <c r="B124" s="35">
        <v>0</v>
      </c>
      <c r="C124" s="35">
        <v>0</v>
      </c>
      <c r="D124" s="35">
        <v>0</v>
      </c>
      <c r="E124" s="35">
        <f>Table15[[#This Row],[0]]+Table15[[#This Row],[1052073440.0000]]+Table15[[#This Row],[2243711990.0000]]</f>
        <v>0</v>
      </c>
      <c r="F124" s="84">
        <f>Table15[[#This Row],[3295785430.0000]]/درآمدها!$C$12</f>
        <v>0</v>
      </c>
      <c r="G124" s="35">
        <v>0</v>
      </c>
      <c r="H124" s="35">
        <v>0</v>
      </c>
      <c r="I124" s="83">
        <v>1601150357</v>
      </c>
      <c r="J124" s="83">
        <f>Table15[[#This Row],[2764670768.0000]]+Table15[[#This Row],[Column9]]+Table15[[#This Row],[Column7]]</f>
        <v>1601150357</v>
      </c>
      <c r="K124" s="84">
        <f>Table15[[#This Row],[5008382758.0000]]/درآمدها!$C$12</f>
        <v>0.22343140513082138</v>
      </c>
    </row>
    <row r="125" spans="1:11" ht="23.1" customHeight="1" x14ac:dyDescent="0.45">
      <c r="A125" s="82" t="s">
        <v>249</v>
      </c>
      <c r="B125" s="35">
        <v>0</v>
      </c>
      <c r="C125" s="35">
        <v>0</v>
      </c>
      <c r="D125" s="35">
        <v>0</v>
      </c>
      <c r="E125" s="35">
        <f>Table15[[#This Row],[0]]+Table15[[#This Row],[1052073440.0000]]+Table15[[#This Row],[2243711990.0000]]</f>
        <v>0</v>
      </c>
      <c r="F125" s="84">
        <f>Table15[[#This Row],[3295785430.0000]]/درآمدها!$C$12</f>
        <v>0</v>
      </c>
      <c r="G125" s="35">
        <v>0</v>
      </c>
      <c r="H125" s="35">
        <v>0</v>
      </c>
      <c r="I125" s="83">
        <v>-1003780</v>
      </c>
      <c r="J125" s="83">
        <f>Table15[[#This Row],[2764670768.0000]]+Table15[[#This Row],[Column9]]+Table15[[#This Row],[Column7]]</f>
        <v>-1003780</v>
      </c>
      <c r="K125" s="84">
        <f>Table15[[#This Row],[5008382758.0000]]/درآمدها!$C$12</f>
        <v>-1.4007177705810915E-4</v>
      </c>
    </row>
    <row r="126" spans="1:11" ht="23.1" customHeight="1" x14ac:dyDescent="0.45">
      <c r="A126" s="82" t="s">
        <v>171</v>
      </c>
      <c r="B126" s="35">
        <v>0</v>
      </c>
      <c r="C126" s="35">
        <v>0</v>
      </c>
      <c r="D126" s="35">
        <v>0</v>
      </c>
      <c r="E126" s="35">
        <f>Table15[[#This Row],[0]]+Table15[[#This Row],[1052073440.0000]]+Table15[[#This Row],[2243711990.0000]]</f>
        <v>0</v>
      </c>
      <c r="F126" s="84">
        <f>Table15[[#This Row],[3295785430.0000]]/درآمدها!$C$12</f>
        <v>0</v>
      </c>
      <c r="G126" s="35">
        <v>0</v>
      </c>
      <c r="H126" s="35">
        <v>0</v>
      </c>
      <c r="I126" s="83">
        <v>2410184245</v>
      </c>
      <c r="J126" s="83">
        <f>Table15[[#This Row],[2764670768.0000]]+Table15[[#This Row],[Column9]]+Table15[[#This Row],[Column7]]</f>
        <v>2410184245</v>
      </c>
      <c r="K126" s="84">
        <f>Table15[[#This Row],[5008382758.0000]]/درآمدها!$C$12</f>
        <v>0.33632747238897681</v>
      </c>
    </row>
    <row r="127" spans="1:11" ht="23.1" customHeight="1" x14ac:dyDescent="0.45">
      <c r="A127" s="82" t="s">
        <v>219</v>
      </c>
      <c r="B127" s="35">
        <v>0</v>
      </c>
      <c r="C127" s="35">
        <v>0</v>
      </c>
      <c r="D127" s="35">
        <v>0</v>
      </c>
      <c r="E127" s="35">
        <f>Table15[[#This Row],[0]]+Table15[[#This Row],[1052073440.0000]]+Table15[[#This Row],[2243711990.0000]]</f>
        <v>0</v>
      </c>
      <c r="F127" s="84">
        <f>Table15[[#This Row],[3295785430.0000]]/درآمدها!$C$12</f>
        <v>0</v>
      </c>
      <c r="G127" s="35">
        <v>0</v>
      </c>
      <c r="H127" s="83">
        <v>3987928676</v>
      </c>
      <c r="I127" s="83">
        <v>-8306756</v>
      </c>
      <c r="J127" s="83">
        <f>Table15[[#This Row],[2764670768.0000]]+Table15[[#This Row],[Column9]]+Table15[[#This Row],[Column7]]</f>
        <v>3979621920</v>
      </c>
      <c r="K127" s="84">
        <f>Table15[[#This Row],[5008382758.0000]]/درآمدها!$C$12</f>
        <v>0.55533355352149305</v>
      </c>
    </row>
    <row r="128" spans="1:11" ht="23.1" customHeight="1" x14ac:dyDescent="0.45">
      <c r="A128" s="82" t="s">
        <v>220</v>
      </c>
      <c r="B128" s="35">
        <v>0</v>
      </c>
      <c r="C128" s="35">
        <v>0</v>
      </c>
      <c r="D128" s="35">
        <v>0</v>
      </c>
      <c r="E128" s="35">
        <f>Table15[[#This Row],[0]]+Table15[[#This Row],[1052073440.0000]]+Table15[[#This Row],[2243711990.0000]]</f>
        <v>0</v>
      </c>
      <c r="F128" s="84">
        <f>Table15[[#This Row],[3295785430.0000]]/درآمدها!$C$12</f>
        <v>0</v>
      </c>
      <c r="G128" s="35">
        <v>0</v>
      </c>
      <c r="H128" s="83">
        <v>420000000</v>
      </c>
      <c r="I128" s="83">
        <v>-415851</v>
      </c>
      <c r="J128" s="83">
        <f>Table15[[#This Row],[2764670768.0000]]+Table15[[#This Row],[Column9]]+Table15[[#This Row],[Column7]]</f>
        <v>419584149</v>
      </c>
      <c r="K128" s="84">
        <f>Table15[[#This Row],[5008382758.0000]]/درآمدها!$C$12</f>
        <v>5.8550576197816707E-2</v>
      </c>
    </row>
    <row r="129" spans="1:11" ht="23.1" customHeight="1" x14ac:dyDescent="0.45">
      <c r="A129" s="82" t="s">
        <v>221</v>
      </c>
      <c r="B129" s="35">
        <v>0</v>
      </c>
      <c r="C129" s="35">
        <v>0</v>
      </c>
      <c r="D129" s="35">
        <v>0</v>
      </c>
      <c r="E129" s="35">
        <f>Table15[[#This Row],[0]]+Table15[[#This Row],[1052073440.0000]]+Table15[[#This Row],[2243711990.0000]]</f>
        <v>0</v>
      </c>
      <c r="F129" s="84">
        <f>Table15[[#This Row],[3295785430.0000]]/درآمدها!$C$12</f>
        <v>0</v>
      </c>
      <c r="G129" s="35">
        <v>0</v>
      </c>
      <c r="H129" s="35">
        <v>0</v>
      </c>
      <c r="I129" s="83">
        <v>485540977</v>
      </c>
      <c r="J129" s="83">
        <f>Table15[[#This Row],[2764670768.0000]]+Table15[[#This Row],[Column9]]+Table15[[#This Row],[Column7]]</f>
        <v>485540977</v>
      </c>
      <c r="K129" s="84">
        <f>Table15[[#This Row],[5008382758.0000]]/درآمدها!$C$12</f>
        <v>6.7754475565283731E-2</v>
      </c>
    </row>
    <row r="130" spans="1:11" ht="23.1" customHeight="1" x14ac:dyDescent="0.45">
      <c r="A130" s="82" t="s">
        <v>175</v>
      </c>
      <c r="B130" s="35">
        <v>0</v>
      </c>
      <c r="C130" s="35">
        <v>0</v>
      </c>
      <c r="D130" s="35">
        <v>0</v>
      </c>
      <c r="E130" s="35">
        <f>Table15[[#This Row],[0]]+Table15[[#This Row],[1052073440.0000]]+Table15[[#This Row],[2243711990.0000]]</f>
        <v>0</v>
      </c>
      <c r="F130" s="84">
        <f>Table15[[#This Row],[3295785430.0000]]/درآمدها!$C$12</f>
        <v>0</v>
      </c>
      <c r="G130" s="35">
        <v>0</v>
      </c>
      <c r="H130" s="35">
        <v>0</v>
      </c>
      <c r="I130" s="83">
        <v>1183735390</v>
      </c>
      <c r="J130" s="83">
        <f>Table15[[#This Row],[2764670768.0000]]+Table15[[#This Row],[Column9]]+Table15[[#This Row],[Column7]]</f>
        <v>1183735390</v>
      </c>
      <c r="K130" s="84">
        <f>Table15[[#This Row],[5008382758.0000]]/درآمدها!$C$12</f>
        <v>0.16518352591591176</v>
      </c>
    </row>
    <row r="131" spans="1:11" ht="23.1" customHeight="1" x14ac:dyDescent="0.45">
      <c r="A131" s="82" t="s">
        <v>193</v>
      </c>
      <c r="B131" s="35">
        <v>0</v>
      </c>
      <c r="C131" s="35">
        <v>0</v>
      </c>
      <c r="D131" s="35">
        <v>0</v>
      </c>
      <c r="E131" s="35">
        <f>Table15[[#This Row],[0]]+Table15[[#This Row],[1052073440.0000]]+Table15[[#This Row],[2243711990.0000]]</f>
        <v>0</v>
      </c>
      <c r="F131" s="84">
        <f>Table15[[#This Row],[3295785430.0000]]/درآمدها!$C$12</f>
        <v>0</v>
      </c>
      <c r="G131" s="35">
        <v>0</v>
      </c>
      <c r="H131" s="35">
        <v>0</v>
      </c>
      <c r="I131" s="83">
        <v>566935332</v>
      </c>
      <c r="J131" s="83">
        <f>Table15[[#This Row],[2764670768.0000]]+Table15[[#This Row],[Column9]]+Table15[[#This Row],[Column7]]</f>
        <v>566935332</v>
      </c>
      <c r="K131" s="84">
        <f>Table15[[#This Row],[5008382758.0000]]/درآمدها!$C$12</f>
        <v>7.9112593825608299E-2</v>
      </c>
    </row>
    <row r="132" spans="1:11" ht="23.1" customHeight="1" x14ac:dyDescent="0.45">
      <c r="A132" s="82" t="s">
        <v>169</v>
      </c>
      <c r="B132" s="35">
        <v>0</v>
      </c>
      <c r="C132" s="35">
        <v>0</v>
      </c>
      <c r="D132" s="35">
        <v>0</v>
      </c>
      <c r="E132" s="35">
        <f>Table15[[#This Row],[0]]+Table15[[#This Row],[1052073440.0000]]+Table15[[#This Row],[2243711990.0000]]</f>
        <v>0</v>
      </c>
      <c r="F132" s="84">
        <f>Table15[[#This Row],[3295785430.0000]]/درآمدها!$C$12</f>
        <v>0</v>
      </c>
      <c r="G132" s="35">
        <v>0</v>
      </c>
      <c r="H132" s="35">
        <v>0</v>
      </c>
      <c r="I132" s="83">
        <v>3789938207</v>
      </c>
      <c r="J132" s="83">
        <f>Table15[[#This Row],[2764670768.0000]]+Table15[[#This Row],[Column9]]+Table15[[#This Row],[Column7]]</f>
        <v>3789938207</v>
      </c>
      <c r="K132" s="84">
        <f>Table15[[#This Row],[5008382758.0000]]/درآمدها!$C$12</f>
        <v>0.52886427264431846</v>
      </c>
    </row>
    <row r="133" spans="1:11" ht="23.1" customHeight="1" x14ac:dyDescent="0.45">
      <c r="A133" s="82" t="s">
        <v>187</v>
      </c>
      <c r="B133" s="35">
        <v>0</v>
      </c>
      <c r="C133" s="35">
        <v>0</v>
      </c>
      <c r="D133" s="35">
        <v>0</v>
      </c>
      <c r="E133" s="35">
        <f>Table15[[#This Row],[0]]+Table15[[#This Row],[1052073440.0000]]+Table15[[#This Row],[2243711990.0000]]</f>
        <v>0</v>
      </c>
      <c r="F133" s="84">
        <f>Table15[[#This Row],[3295785430.0000]]/درآمدها!$C$12</f>
        <v>0</v>
      </c>
      <c r="G133" s="35">
        <v>0</v>
      </c>
      <c r="H133" s="35">
        <v>0</v>
      </c>
      <c r="I133" s="83">
        <v>960768880</v>
      </c>
      <c r="J133" s="83">
        <f>Table15[[#This Row],[2764670768.0000]]+Table15[[#This Row],[Column9]]+Table15[[#This Row],[Column7]]</f>
        <v>960768880</v>
      </c>
      <c r="K133" s="84">
        <f>Table15[[#This Row],[5008382758.0000]]/درآمدها!$C$12</f>
        <v>0.13406982044245674</v>
      </c>
    </row>
    <row r="134" spans="1:11" ht="23.1" customHeight="1" x14ac:dyDescent="0.45">
      <c r="A134" s="82" t="s">
        <v>167</v>
      </c>
      <c r="B134" s="35">
        <v>0</v>
      </c>
      <c r="C134" s="35">
        <v>0</v>
      </c>
      <c r="D134" s="35">
        <v>0</v>
      </c>
      <c r="E134" s="35">
        <f>Table15[[#This Row],[0]]+Table15[[#This Row],[1052073440.0000]]+Table15[[#This Row],[2243711990.0000]]</f>
        <v>0</v>
      </c>
      <c r="F134" s="84">
        <f>Table15[[#This Row],[3295785430.0000]]/درآمدها!$C$12</f>
        <v>0</v>
      </c>
      <c r="G134" s="35">
        <v>0</v>
      </c>
      <c r="H134" s="35">
        <v>0</v>
      </c>
      <c r="I134" s="83">
        <v>274032882</v>
      </c>
      <c r="J134" s="83">
        <f>Table15[[#This Row],[2764670768.0000]]+Table15[[#This Row],[Column9]]+Table15[[#This Row],[Column7]]</f>
        <v>274032882</v>
      </c>
      <c r="K134" s="84">
        <f>Table15[[#This Row],[5008382758.0000]]/درآمدها!$C$12</f>
        <v>3.8239726587594031E-2</v>
      </c>
    </row>
    <row r="135" spans="1:11" ht="23.1" customHeight="1" x14ac:dyDescent="0.45">
      <c r="A135" s="82" t="s">
        <v>195</v>
      </c>
      <c r="B135" s="35">
        <v>0</v>
      </c>
      <c r="C135" s="35">
        <v>0</v>
      </c>
      <c r="D135" s="35">
        <v>0</v>
      </c>
      <c r="E135" s="35">
        <f>Table15[[#This Row],[0]]+Table15[[#This Row],[1052073440.0000]]+Table15[[#This Row],[2243711990.0000]]</f>
        <v>0</v>
      </c>
      <c r="F135" s="84">
        <f>Table15[[#This Row],[3295785430.0000]]/درآمدها!$C$12</f>
        <v>0</v>
      </c>
      <c r="G135" s="35">
        <v>0</v>
      </c>
      <c r="H135" s="35">
        <v>0</v>
      </c>
      <c r="I135" s="83">
        <v>576695405</v>
      </c>
      <c r="J135" s="83">
        <f>Table15[[#This Row],[2764670768.0000]]+Table15[[#This Row],[Column9]]+Table15[[#This Row],[Column7]]</f>
        <v>576695405</v>
      </c>
      <c r="K135" s="84">
        <f>Table15[[#This Row],[5008382758.0000]]/درآمدها!$C$12</f>
        <v>8.0474556376492826E-2</v>
      </c>
    </row>
    <row r="136" spans="1:11" ht="23.1" customHeight="1" x14ac:dyDescent="0.45">
      <c r="A136" s="82" t="s">
        <v>172</v>
      </c>
      <c r="B136" s="35">
        <v>0</v>
      </c>
      <c r="C136" s="35">
        <v>0</v>
      </c>
      <c r="D136" s="35">
        <v>0</v>
      </c>
      <c r="E136" s="35">
        <f>Table15[[#This Row],[0]]+Table15[[#This Row],[1052073440.0000]]+Table15[[#This Row],[2243711990.0000]]</f>
        <v>0</v>
      </c>
      <c r="F136" s="84">
        <f>Table15[[#This Row],[3295785430.0000]]/درآمدها!$C$12</f>
        <v>0</v>
      </c>
      <c r="G136" s="35">
        <v>0</v>
      </c>
      <c r="H136" s="35">
        <v>0</v>
      </c>
      <c r="I136" s="83">
        <v>119035353</v>
      </c>
      <c r="J136" s="83">
        <f>Table15[[#This Row],[2764670768.0000]]+Table15[[#This Row],[Column9]]+Table15[[#This Row],[Column7]]</f>
        <v>119035353</v>
      </c>
      <c r="K136" s="84">
        <f>Table15[[#This Row],[5008382758.0000]]/درآمدها!$C$12</f>
        <v>1.6610704962690355E-2</v>
      </c>
    </row>
    <row r="137" spans="1:11" ht="23.1" customHeight="1" x14ac:dyDescent="0.45">
      <c r="A137" s="82" t="s">
        <v>179</v>
      </c>
      <c r="B137" s="35">
        <v>0</v>
      </c>
      <c r="C137" s="35">
        <v>0</v>
      </c>
      <c r="D137" s="35">
        <v>0</v>
      </c>
      <c r="E137" s="35">
        <f>Table15[[#This Row],[0]]+Table15[[#This Row],[1052073440.0000]]+Table15[[#This Row],[2243711990.0000]]</f>
        <v>0</v>
      </c>
      <c r="F137" s="84">
        <f>Table15[[#This Row],[3295785430.0000]]/درآمدها!$C$12</f>
        <v>0</v>
      </c>
      <c r="G137" s="35">
        <v>0</v>
      </c>
      <c r="H137" s="35">
        <v>0</v>
      </c>
      <c r="I137" s="83">
        <v>392810062</v>
      </c>
      <c r="J137" s="83">
        <f>Table15[[#This Row],[2764670768.0000]]+Table15[[#This Row],[Column9]]+Table15[[#This Row],[Column7]]</f>
        <v>392810062</v>
      </c>
      <c r="K137" s="84">
        <f>Table15[[#This Row],[5008382758.0000]]/درآمدها!$C$12</f>
        <v>5.4814404979822304E-2</v>
      </c>
    </row>
    <row r="138" spans="1:11" ht="23.1" customHeight="1" x14ac:dyDescent="0.45">
      <c r="A138" s="82" t="s">
        <v>170</v>
      </c>
      <c r="B138" s="35">
        <v>0</v>
      </c>
      <c r="C138" s="35">
        <v>0</v>
      </c>
      <c r="D138" s="35">
        <v>0</v>
      </c>
      <c r="E138" s="35">
        <f>Table15[[#This Row],[0]]+Table15[[#This Row],[1052073440.0000]]+Table15[[#This Row],[2243711990.0000]]</f>
        <v>0</v>
      </c>
      <c r="F138" s="84">
        <f>Table15[[#This Row],[3295785430.0000]]/درآمدها!$C$12</f>
        <v>0</v>
      </c>
      <c r="G138" s="35">
        <v>0</v>
      </c>
      <c r="H138" s="35">
        <v>0</v>
      </c>
      <c r="I138" s="83">
        <v>700992574</v>
      </c>
      <c r="J138" s="83">
        <f>Table15[[#This Row],[2764670768.0000]]+Table15[[#This Row],[Column9]]+Table15[[#This Row],[Column7]]</f>
        <v>700992574</v>
      </c>
      <c r="K138" s="84">
        <f>Table15[[#This Row],[5008382758.0000]]/درآمدها!$C$12</f>
        <v>9.7819517767556721E-2</v>
      </c>
    </row>
    <row r="139" spans="1:11" ht="23.1" customHeight="1" x14ac:dyDescent="0.45">
      <c r="A139" s="82" t="s">
        <v>255</v>
      </c>
      <c r="B139" s="35">
        <v>0</v>
      </c>
      <c r="C139" s="35">
        <v>0</v>
      </c>
      <c r="D139" s="35">
        <v>0</v>
      </c>
      <c r="E139" s="35">
        <f>Table15[[#This Row],[0]]+Table15[[#This Row],[1052073440.0000]]+Table15[[#This Row],[2243711990.0000]]</f>
        <v>0</v>
      </c>
      <c r="F139" s="84">
        <f>Table15[[#This Row],[3295785430.0000]]/درآمدها!$C$12</f>
        <v>0</v>
      </c>
      <c r="G139" s="35">
        <v>0</v>
      </c>
      <c r="H139" s="83">
        <v>59400000</v>
      </c>
      <c r="I139" s="83">
        <v>-1132970</v>
      </c>
      <c r="J139" s="83">
        <f>Table15[[#This Row],[2764670768.0000]]+Table15[[#This Row],[Column9]]+Table15[[#This Row],[Column7]]</f>
        <v>58267030</v>
      </c>
      <c r="K139" s="84">
        <f>Table15[[#This Row],[5008382758.0000]]/درآمدها!$C$12</f>
        <v>8.1308318914484826E-3</v>
      </c>
    </row>
    <row r="140" spans="1:11" ht="23.1" customHeight="1" x14ac:dyDescent="0.45">
      <c r="A140" s="82" t="s">
        <v>256</v>
      </c>
      <c r="B140" s="35">
        <v>0</v>
      </c>
      <c r="C140" s="35">
        <v>0</v>
      </c>
      <c r="D140" s="35">
        <v>0</v>
      </c>
      <c r="E140" s="35">
        <f>Table15[[#This Row],[0]]+Table15[[#This Row],[1052073440.0000]]+Table15[[#This Row],[2243711990.0000]]</f>
        <v>0</v>
      </c>
      <c r="F140" s="84">
        <f>Table15[[#This Row],[3295785430.0000]]/درآمدها!$C$12</f>
        <v>0</v>
      </c>
      <c r="G140" s="35">
        <v>0</v>
      </c>
      <c r="H140" s="35">
        <v>0</v>
      </c>
      <c r="I140" s="83">
        <v>740045319</v>
      </c>
      <c r="J140" s="83">
        <f>Table15[[#This Row],[2764670768.0000]]+Table15[[#This Row],[Column9]]+Table15[[#This Row],[Column7]]</f>
        <v>740045319</v>
      </c>
      <c r="K140" s="84">
        <f>Table15[[#This Row],[5008382758.0000]]/درآمدها!$C$12</f>
        <v>0.10326910571625782</v>
      </c>
    </row>
    <row r="141" spans="1:11" ht="23.1" customHeight="1" x14ac:dyDescent="0.45">
      <c r="A141" s="82" t="s">
        <v>257</v>
      </c>
      <c r="B141" s="35">
        <v>0</v>
      </c>
      <c r="C141" s="35">
        <v>0</v>
      </c>
      <c r="D141" s="35">
        <v>0</v>
      </c>
      <c r="E141" s="35">
        <f>Table15[[#This Row],[0]]+Table15[[#This Row],[1052073440.0000]]+Table15[[#This Row],[2243711990.0000]]</f>
        <v>0</v>
      </c>
      <c r="F141" s="84">
        <f>Table15[[#This Row],[3295785430.0000]]/درآمدها!$C$12</f>
        <v>0</v>
      </c>
      <c r="G141" s="35">
        <v>0</v>
      </c>
      <c r="H141" s="35">
        <v>0</v>
      </c>
      <c r="I141" s="83">
        <v>150830827</v>
      </c>
      <c r="J141" s="83">
        <f>Table15[[#This Row],[2764670768.0000]]+Table15[[#This Row],[Column9]]+Table15[[#This Row],[Column7]]</f>
        <v>150830827</v>
      </c>
      <c r="K141" s="84">
        <f>Table15[[#This Row],[5008382758.0000]]/درآمدها!$C$12</f>
        <v>2.1047582112648421E-2</v>
      </c>
    </row>
    <row r="142" spans="1:11" ht="23.1" customHeight="1" x14ac:dyDescent="0.45">
      <c r="A142" s="82" t="s">
        <v>268</v>
      </c>
      <c r="B142" s="35">
        <v>0</v>
      </c>
      <c r="C142" s="35">
        <v>0</v>
      </c>
      <c r="D142" s="35">
        <v>0</v>
      </c>
      <c r="E142" s="35">
        <f>Table15[[#This Row],[0]]+Table15[[#This Row],[1052073440.0000]]+Table15[[#This Row],[2243711990.0000]]</f>
        <v>0</v>
      </c>
      <c r="F142" s="84">
        <f>Table15[[#This Row],[3295785430.0000]]/درآمدها!$C$12</f>
        <v>0</v>
      </c>
      <c r="G142" s="35">
        <v>0</v>
      </c>
      <c r="H142" s="35">
        <v>0</v>
      </c>
      <c r="I142" s="83">
        <v>216823507</v>
      </c>
      <c r="J142" s="83">
        <f>Table15[[#This Row],[2764670768.0000]]+Table15[[#This Row],[Column9]]+Table15[[#This Row],[Column7]]</f>
        <v>216823507</v>
      </c>
      <c r="K142" s="84">
        <f>Table15[[#This Row],[5008382758.0000]]/درآمدها!$C$12</f>
        <v>3.0256484422344906E-2</v>
      </c>
    </row>
    <row r="143" spans="1:11" ht="23.1" customHeight="1" x14ac:dyDescent="0.45">
      <c r="A143" s="82" t="s">
        <v>222</v>
      </c>
      <c r="B143" s="35">
        <v>0</v>
      </c>
      <c r="C143" s="35">
        <v>0</v>
      </c>
      <c r="D143" s="35">
        <v>0</v>
      </c>
      <c r="E143" s="35">
        <f>Table15[[#This Row],[0]]+Table15[[#This Row],[1052073440.0000]]+Table15[[#This Row],[2243711990.0000]]</f>
        <v>0</v>
      </c>
      <c r="F143" s="84">
        <f>Table15[[#This Row],[3295785430.0000]]/درآمدها!$C$12</f>
        <v>0</v>
      </c>
      <c r="G143" s="35">
        <v>0</v>
      </c>
      <c r="H143" s="35">
        <v>0</v>
      </c>
      <c r="I143" s="83">
        <v>37886400</v>
      </c>
      <c r="J143" s="83">
        <f>Table15[[#This Row],[2764670768.0000]]+Table15[[#This Row],[Column9]]+Table15[[#This Row],[Column7]]</f>
        <v>37886400</v>
      </c>
      <c r="K143" s="84">
        <f>Table15[[#This Row],[5008382758.0000]]/درآمدها!$C$12</f>
        <v>5.286831152577603E-3</v>
      </c>
    </row>
    <row r="144" spans="1:11" ht="23.1" customHeight="1" x14ac:dyDescent="0.45">
      <c r="A144" s="82" t="s">
        <v>185</v>
      </c>
      <c r="B144" s="35">
        <v>0</v>
      </c>
      <c r="C144" s="35">
        <v>0</v>
      </c>
      <c r="D144" s="35">
        <v>0</v>
      </c>
      <c r="E144" s="35">
        <f>Table15[[#This Row],[0]]+Table15[[#This Row],[1052073440.0000]]+Table15[[#This Row],[2243711990.0000]]</f>
        <v>0</v>
      </c>
      <c r="F144" s="84">
        <f>Table15[[#This Row],[3295785430.0000]]/درآمدها!$C$12</f>
        <v>0</v>
      </c>
      <c r="G144" s="35">
        <v>0</v>
      </c>
      <c r="H144" s="35">
        <v>0</v>
      </c>
      <c r="I144" s="83">
        <v>369230959</v>
      </c>
      <c r="J144" s="83">
        <f>Table15[[#This Row],[2764670768.0000]]+Table15[[#This Row],[Column9]]+Table15[[#This Row],[Column7]]</f>
        <v>369230959</v>
      </c>
      <c r="K144" s="84">
        <f>Table15[[#This Row],[5008382758.0000]]/درآمدها!$C$12</f>
        <v>5.1524075566359004E-2</v>
      </c>
    </row>
    <row r="145" spans="1:11" ht="23.1" customHeight="1" x14ac:dyDescent="0.45">
      <c r="A145" s="82" t="s">
        <v>262</v>
      </c>
      <c r="B145" s="35">
        <v>0</v>
      </c>
      <c r="C145" s="35">
        <v>0</v>
      </c>
      <c r="D145" s="35">
        <v>0</v>
      </c>
      <c r="E145" s="35">
        <f>Table15[[#This Row],[0]]+Table15[[#This Row],[1052073440.0000]]+Table15[[#This Row],[2243711990.0000]]</f>
        <v>0</v>
      </c>
      <c r="F145" s="84">
        <f>Table15[[#This Row],[3295785430.0000]]/درآمدها!$C$12</f>
        <v>0</v>
      </c>
      <c r="G145" s="35">
        <v>0</v>
      </c>
      <c r="H145" s="83">
        <v>-91000000</v>
      </c>
      <c r="I145" s="83">
        <v>-443087</v>
      </c>
      <c r="J145" s="83">
        <f>Table15[[#This Row],[2764670768.0000]]+Table15[[#This Row],[Column9]]+Table15[[#This Row],[Column7]]</f>
        <v>-91443087</v>
      </c>
      <c r="K145" s="84">
        <f>Table15[[#This Row],[5008382758.0000]]/درآمدها!$C$12</f>
        <v>-1.2760361529188946E-2</v>
      </c>
    </row>
    <row r="146" spans="1:11" ht="23.1" customHeight="1" x14ac:dyDescent="0.45">
      <c r="A146" s="82" t="s">
        <v>224</v>
      </c>
      <c r="B146" s="35">
        <v>0</v>
      </c>
      <c r="C146" s="35">
        <v>0</v>
      </c>
      <c r="D146" s="35">
        <v>0</v>
      </c>
      <c r="E146" s="35">
        <f>Table15[[#This Row],[0]]+Table15[[#This Row],[1052073440.0000]]+Table15[[#This Row],[2243711990.0000]]</f>
        <v>0</v>
      </c>
      <c r="F146" s="84">
        <f>Table15[[#This Row],[3295785430.0000]]/درآمدها!$C$12</f>
        <v>0</v>
      </c>
      <c r="G146" s="35">
        <v>0</v>
      </c>
      <c r="H146" s="35">
        <v>0</v>
      </c>
      <c r="I146" s="83">
        <v>447969418</v>
      </c>
      <c r="J146" s="83">
        <f>Table15[[#This Row],[2764670768.0000]]+Table15[[#This Row],[Column9]]+Table15[[#This Row],[Column7]]</f>
        <v>447969418</v>
      </c>
      <c r="K146" s="84">
        <f>Table15[[#This Row],[5008382758.0000]]/درآمدها!$C$12</f>
        <v>6.2511578679538257E-2</v>
      </c>
    </row>
    <row r="147" spans="1:11" ht="23.1" customHeight="1" x14ac:dyDescent="0.45">
      <c r="A147" s="82" t="s">
        <v>225</v>
      </c>
      <c r="B147" s="35">
        <v>0</v>
      </c>
      <c r="C147" s="35">
        <v>0</v>
      </c>
      <c r="D147" s="35">
        <v>0</v>
      </c>
      <c r="E147" s="35">
        <f>Table15[[#This Row],[0]]+Table15[[#This Row],[1052073440.0000]]+Table15[[#This Row],[2243711990.0000]]</f>
        <v>0</v>
      </c>
      <c r="F147" s="84">
        <f>Table15[[#This Row],[3295785430.0000]]/درآمدها!$C$12</f>
        <v>0</v>
      </c>
      <c r="G147" s="35">
        <v>0</v>
      </c>
      <c r="H147" s="35">
        <v>0</v>
      </c>
      <c r="I147" s="83">
        <v>20427553</v>
      </c>
      <c r="J147" s="83">
        <f>Table15[[#This Row],[2764670768.0000]]+Table15[[#This Row],[Column9]]+Table15[[#This Row],[Column7]]</f>
        <v>20427553</v>
      </c>
      <c r="K147" s="84">
        <f>Table15[[#This Row],[5008382758.0000]]/درآمدها!$C$12</f>
        <v>2.8505485760412729E-3</v>
      </c>
    </row>
    <row r="148" spans="1:11" ht="23.1" customHeight="1" x14ac:dyDescent="0.45">
      <c r="A148" s="82" t="s">
        <v>226</v>
      </c>
      <c r="B148" s="35">
        <v>0</v>
      </c>
      <c r="C148" s="35">
        <v>0</v>
      </c>
      <c r="D148" s="35">
        <v>0</v>
      </c>
      <c r="E148" s="35">
        <f>Table15[[#This Row],[0]]+Table15[[#This Row],[1052073440.0000]]+Table15[[#This Row],[2243711990.0000]]</f>
        <v>0</v>
      </c>
      <c r="F148" s="84">
        <f>Table15[[#This Row],[3295785430.0000]]/درآمدها!$C$12</f>
        <v>0</v>
      </c>
      <c r="G148" s="35">
        <v>0</v>
      </c>
      <c r="H148" s="35">
        <v>0</v>
      </c>
      <c r="I148" s="83">
        <v>779131</v>
      </c>
      <c r="J148" s="83">
        <f>Table15[[#This Row],[2764670768.0000]]+Table15[[#This Row],[Column9]]+Table15[[#This Row],[Column7]]</f>
        <v>779131</v>
      </c>
      <c r="K148" s="84">
        <f>Table15[[#This Row],[5008382758.0000]]/درآمدها!$C$12</f>
        <v>1.0872328969601072E-4</v>
      </c>
    </row>
    <row r="149" spans="1:11" ht="23.1" customHeight="1" x14ac:dyDescent="0.45">
      <c r="A149" s="82" t="s">
        <v>227</v>
      </c>
      <c r="B149" s="35">
        <v>0</v>
      </c>
      <c r="C149" s="35">
        <v>0</v>
      </c>
      <c r="D149" s="35">
        <v>0</v>
      </c>
      <c r="E149" s="35">
        <f>Table15[[#This Row],[0]]+Table15[[#This Row],[1052073440.0000]]+Table15[[#This Row],[2243711990.0000]]</f>
        <v>0</v>
      </c>
      <c r="F149" s="84">
        <f>Table15[[#This Row],[3295785430.0000]]/درآمدها!$C$12</f>
        <v>0</v>
      </c>
      <c r="G149" s="35">
        <v>0</v>
      </c>
      <c r="H149" s="83">
        <v>355000000</v>
      </c>
      <c r="I149" s="83">
        <v>-312468</v>
      </c>
      <c r="J149" s="83">
        <f>Table15[[#This Row],[2764670768.0000]]+Table15[[#This Row],[Column9]]+Table15[[#This Row],[Column7]]</f>
        <v>354687532</v>
      </c>
      <c r="K149" s="84">
        <f>Table15[[#This Row],[5008382758.0000]]/درآمدها!$C$12</f>
        <v>4.9494623231778834E-2</v>
      </c>
    </row>
    <row r="150" spans="1:11" ht="23.1" customHeight="1" x14ac:dyDescent="0.45">
      <c r="A150" s="82" t="s">
        <v>228</v>
      </c>
      <c r="B150" s="35">
        <v>0</v>
      </c>
      <c r="C150" s="35">
        <v>0</v>
      </c>
      <c r="D150" s="35">
        <v>0</v>
      </c>
      <c r="E150" s="35">
        <f>Table15[[#This Row],[0]]+Table15[[#This Row],[1052073440.0000]]+Table15[[#This Row],[2243711990.0000]]</f>
        <v>0</v>
      </c>
      <c r="F150" s="84">
        <f>Table15[[#This Row],[3295785430.0000]]/درآمدها!$C$12</f>
        <v>0</v>
      </c>
      <c r="G150" s="35">
        <v>0</v>
      </c>
      <c r="H150" s="35">
        <v>0</v>
      </c>
      <c r="I150" s="83">
        <v>276823451</v>
      </c>
      <c r="J150" s="83">
        <f>Table15[[#This Row],[2764670768.0000]]+Table15[[#This Row],[Column9]]+Table15[[#This Row],[Column7]]</f>
        <v>276823451</v>
      </c>
      <c r="K150" s="84">
        <f>Table15[[#This Row],[5008382758.0000]]/درآمدها!$C$12</f>
        <v>3.8629134584200128E-2</v>
      </c>
    </row>
    <row r="151" spans="1:11" ht="23.1" customHeight="1" x14ac:dyDescent="0.45">
      <c r="A151" s="82" t="s">
        <v>180</v>
      </c>
      <c r="B151" s="35">
        <v>0</v>
      </c>
      <c r="C151" s="35">
        <v>0</v>
      </c>
      <c r="D151" s="35">
        <v>0</v>
      </c>
      <c r="E151" s="35">
        <f>Table15[[#This Row],[0]]+Table15[[#This Row],[1052073440.0000]]+Table15[[#This Row],[2243711990.0000]]</f>
        <v>0</v>
      </c>
      <c r="F151" s="84">
        <f>Table15[[#This Row],[3295785430.0000]]/درآمدها!$C$12</f>
        <v>0</v>
      </c>
      <c r="G151" s="35">
        <v>0</v>
      </c>
      <c r="H151" s="35">
        <v>0</v>
      </c>
      <c r="I151" s="83">
        <v>-171424597</v>
      </c>
      <c r="J151" s="83">
        <f>Table15[[#This Row],[2764670768.0000]]+Table15[[#This Row],[Column9]]+Table15[[#This Row],[Column7]]</f>
        <v>-171424597</v>
      </c>
      <c r="K151" s="84">
        <f>Table15[[#This Row],[5008382758.0000]]/درآمدها!$C$12</f>
        <v>-2.3921325323537235E-2</v>
      </c>
    </row>
    <row r="152" spans="1:11" ht="23.1" customHeight="1" x14ac:dyDescent="0.45">
      <c r="A152" s="82" t="s">
        <v>189</v>
      </c>
      <c r="B152" s="35">
        <v>0</v>
      </c>
      <c r="C152" s="35">
        <v>0</v>
      </c>
      <c r="D152" s="35">
        <v>0</v>
      </c>
      <c r="E152" s="35">
        <f>Table15[[#This Row],[0]]+Table15[[#This Row],[1052073440.0000]]+Table15[[#This Row],[2243711990.0000]]</f>
        <v>0</v>
      </c>
      <c r="F152" s="84">
        <f>Table15[[#This Row],[3295785430.0000]]/درآمدها!$C$12</f>
        <v>0</v>
      </c>
      <c r="G152" s="35">
        <v>0</v>
      </c>
      <c r="H152" s="35">
        <v>0</v>
      </c>
      <c r="I152" s="83">
        <v>2595921019</v>
      </c>
      <c r="J152" s="83">
        <f>Table15[[#This Row],[2764670768.0000]]+Table15[[#This Row],[Column9]]+Table15[[#This Row],[Column7]]</f>
        <v>2595921019</v>
      </c>
      <c r="K152" s="84">
        <f>Table15[[#This Row],[5008382758.0000]]/درآمدها!$C$12</f>
        <v>0.36224598042781042</v>
      </c>
    </row>
    <row r="153" spans="1:11" ht="23.1" customHeight="1" x14ac:dyDescent="0.45">
      <c r="A153" s="82" t="s">
        <v>259</v>
      </c>
      <c r="B153" s="35">
        <v>0</v>
      </c>
      <c r="C153" s="35">
        <v>0</v>
      </c>
      <c r="D153" s="35">
        <v>0</v>
      </c>
      <c r="E153" s="35">
        <f>Table15[[#This Row],[0]]+Table15[[#This Row],[1052073440.0000]]+Table15[[#This Row],[2243711990.0000]]</f>
        <v>0</v>
      </c>
      <c r="F153" s="84">
        <f>Table15[[#This Row],[3295785430.0000]]/درآمدها!$C$12</f>
        <v>0</v>
      </c>
      <c r="G153" s="35">
        <v>0</v>
      </c>
      <c r="H153" s="35">
        <v>0</v>
      </c>
      <c r="I153" s="83">
        <v>1749914284</v>
      </c>
      <c r="J153" s="83">
        <f>Table15[[#This Row],[2764670768.0000]]+Table15[[#This Row],[Column9]]+Table15[[#This Row],[Column7]]</f>
        <v>1749914284</v>
      </c>
      <c r="K153" s="84">
        <f>Table15[[#This Row],[5008382758.0000]]/درآمدها!$C$12</f>
        <v>0.24419056313061499</v>
      </c>
    </row>
    <row r="154" spans="1:11" ht="23.1" customHeight="1" x14ac:dyDescent="0.45">
      <c r="A154" s="82" t="s">
        <v>267</v>
      </c>
      <c r="B154" s="35">
        <v>0</v>
      </c>
      <c r="C154" s="35">
        <v>0</v>
      </c>
      <c r="D154" s="35">
        <v>0</v>
      </c>
      <c r="E154" s="35">
        <f>Table15[[#This Row],[0]]+Table15[[#This Row],[1052073440.0000]]+Table15[[#This Row],[2243711990.0000]]</f>
        <v>0</v>
      </c>
      <c r="F154" s="84">
        <f>Table15[[#This Row],[3295785430.0000]]/درآمدها!$C$12</f>
        <v>0</v>
      </c>
      <c r="G154" s="35">
        <v>0</v>
      </c>
      <c r="H154" s="35">
        <v>0</v>
      </c>
      <c r="I154" s="83">
        <v>1889031353</v>
      </c>
      <c r="J154" s="83">
        <f>Table15[[#This Row],[2764670768.0000]]+Table15[[#This Row],[Column9]]+Table15[[#This Row],[Column7]]</f>
        <v>1889031353</v>
      </c>
      <c r="K154" s="84">
        <f>Table15[[#This Row],[5008382758.0000]]/درآمدها!$C$12</f>
        <v>0.26360355708740391</v>
      </c>
    </row>
    <row r="155" spans="1:11" ht="23.1" customHeight="1" x14ac:dyDescent="0.45">
      <c r="A155" s="82" t="s">
        <v>229</v>
      </c>
      <c r="B155" s="35">
        <v>0</v>
      </c>
      <c r="C155" s="35">
        <v>0</v>
      </c>
      <c r="D155" s="35">
        <v>0</v>
      </c>
      <c r="E155" s="35">
        <f>Table15[[#This Row],[0]]+Table15[[#This Row],[1052073440.0000]]+Table15[[#This Row],[2243711990.0000]]</f>
        <v>0</v>
      </c>
      <c r="F155" s="84">
        <f>Table15[[#This Row],[3295785430.0000]]/درآمدها!$C$12</f>
        <v>0</v>
      </c>
      <c r="G155" s="35">
        <v>0</v>
      </c>
      <c r="H155" s="83">
        <v>73710000</v>
      </c>
      <c r="I155" s="83">
        <v>-159529</v>
      </c>
      <c r="J155" s="83">
        <f>Table15[[#This Row],[2764670768.0000]]+Table15[[#This Row],[Column9]]+Table15[[#This Row],[Column7]]</f>
        <v>73550471</v>
      </c>
      <c r="K155" s="84">
        <f>Table15[[#This Row],[5008382758.0000]]/درآمدها!$C$12</f>
        <v>1.0263548961356993E-2</v>
      </c>
    </row>
    <row r="156" spans="1:11" ht="23.1" customHeight="1" x14ac:dyDescent="0.45">
      <c r="A156" s="82" t="s">
        <v>191</v>
      </c>
      <c r="B156" s="35">
        <v>0</v>
      </c>
      <c r="C156" s="35">
        <v>0</v>
      </c>
      <c r="D156" s="35">
        <v>0</v>
      </c>
      <c r="E156" s="35">
        <f>Table15[[#This Row],[0]]+Table15[[#This Row],[1052073440.0000]]+Table15[[#This Row],[2243711990.0000]]</f>
        <v>0</v>
      </c>
      <c r="F156" s="84">
        <f>Table15[[#This Row],[3295785430.0000]]/درآمدها!$C$12</f>
        <v>0</v>
      </c>
      <c r="G156" s="35">
        <v>0</v>
      </c>
      <c r="H156" s="83">
        <v>1526189000</v>
      </c>
      <c r="I156" s="83">
        <v>-2114791</v>
      </c>
      <c r="J156" s="83">
        <f>Table15[[#This Row],[2764670768.0000]]+Table15[[#This Row],[Column9]]+Table15[[#This Row],[Column7]]</f>
        <v>1524074209</v>
      </c>
      <c r="K156" s="84">
        <f>Table15[[#This Row],[5008382758.0000]]/درآمدها!$C$12</f>
        <v>0.21267586804186381</v>
      </c>
    </row>
    <row r="157" spans="1:11" ht="23.1" customHeight="1" x14ac:dyDescent="0.45">
      <c r="A157" s="82" t="s">
        <v>231</v>
      </c>
      <c r="B157" s="35">
        <v>0</v>
      </c>
      <c r="C157" s="35">
        <v>0</v>
      </c>
      <c r="D157" s="35">
        <v>0</v>
      </c>
      <c r="E157" s="35">
        <f>Table15[[#This Row],[0]]+Table15[[#This Row],[1052073440.0000]]+Table15[[#This Row],[2243711990.0000]]</f>
        <v>0</v>
      </c>
      <c r="F157" s="84">
        <f>Table15[[#This Row],[3295785430.0000]]/درآمدها!$C$12</f>
        <v>0</v>
      </c>
      <c r="G157" s="35">
        <v>0</v>
      </c>
      <c r="H157" s="83">
        <v>86867037</v>
      </c>
      <c r="I157" s="83">
        <v>726537670</v>
      </c>
      <c r="J157" s="83">
        <f>Table15[[#This Row],[2764670768.0000]]+Table15[[#This Row],[Column9]]+Table15[[#This Row],[Column7]]</f>
        <v>813404707</v>
      </c>
      <c r="K157" s="84">
        <f>Table15[[#This Row],[5008382758.0000]]/درآمدها!$C$12</f>
        <v>0.11350599013421327</v>
      </c>
    </row>
    <row r="158" spans="1:11" ht="23.1" customHeight="1" x14ac:dyDescent="0.45">
      <c r="A158" s="82" t="s">
        <v>233</v>
      </c>
      <c r="B158" s="35">
        <v>0</v>
      </c>
      <c r="C158" s="35">
        <v>0</v>
      </c>
      <c r="D158" s="35">
        <v>0</v>
      </c>
      <c r="E158" s="35">
        <f>Table15[[#This Row],[0]]+Table15[[#This Row],[1052073440.0000]]+Table15[[#This Row],[2243711990.0000]]</f>
        <v>0</v>
      </c>
      <c r="F158" s="84">
        <f>Table15[[#This Row],[3295785430.0000]]/درآمدها!$C$12</f>
        <v>0</v>
      </c>
      <c r="G158" s="35">
        <v>0</v>
      </c>
      <c r="H158" s="83">
        <v>47060000</v>
      </c>
      <c r="I158" s="83">
        <v>-164452</v>
      </c>
      <c r="J158" s="83">
        <f>Table15[[#This Row],[2764670768.0000]]+Table15[[#This Row],[Column9]]+Table15[[#This Row],[Column7]]</f>
        <v>46895548</v>
      </c>
      <c r="K158" s="84">
        <f>Table15[[#This Row],[5008382758.0000]]/درآمدها!$C$12</f>
        <v>6.5440064002807953E-3</v>
      </c>
    </row>
    <row r="159" spans="1:11" ht="23.1" customHeight="1" x14ac:dyDescent="0.45">
      <c r="A159" s="82" t="s">
        <v>235</v>
      </c>
      <c r="B159" s="35">
        <v>0</v>
      </c>
      <c r="C159" s="35">
        <v>0</v>
      </c>
      <c r="D159" s="35">
        <v>0</v>
      </c>
      <c r="E159" s="35">
        <f>Table15[[#This Row],[0]]+Table15[[#This Row],[1052073440.0000]]+Table15[[#This Row],[2243711990.0000]]</f>
        <v>0</v>
      </c>
      <c r="F159" s="84">
        <f>Table15[[#This Row],[3295785430.0000]]/درآمدها!$C$12</f>
        <v>0</v>
      </c>
      <c r="G159" s="35">
        <v>0</v>
      </c>
      <c r="H159" s="83">
        <v>2164000000</v>
      </c>
      <c r="I159" s="83">
        <v>541476083</v>
      </c>
      <c r="J159" s="83">
        <f>Table15[[#This Row],[2764670768.0000]]+Table15[[#This Row],[Column9]]+Table15[[#This Row],[Column7]]</f>
        <v>2705476083</v>
      </c>
      <c r="K159" s="84">
        <f>Table15[[#This Row],[5008382758.0000]]/درآمدها!$C$12</f>
        <v>0.37753376510193709</v>
      </c>
    </row>
    <row r="160" spans="1:11" ht="23.1" customHeight="1" x14ac:dyDescent="0.45">
      <c r="A160" s="82" t="s">
        <v>236</v>
      </c>
      <c r="B160" s="35">
        <v>0</v>
      </c>
      <c r="C160" s="35">
        <v>0</v>
      </c>
      <c r="D160" s="35">
        <v>0</v>
      </c>
      <c r="E160" s="35">
        <f>Table15[[#This Row],[0]]+Table15[[#This Row],[1052073440.0000]]+Table15[[#This Row],[2243711990.0000]]</f>
        <v>0</v>
      </c>
      <c r="F160" s="84">
        <f>Table15[[#This Row],[3295785430.0000]]/درآمدها!$C$12</f>
        <v>0</v>
      </c>
      <c r="G160" s="35">
        <v>0</v>
      </c>
      <c r="H160" s="35">
        <v>0</v>
      </c>
      <c r="I160" s="83">
        <v>271502184</v>
      </c>
      <c r="J160" s="83">
        <f>Table15[[#This Row],[2764670768.0000]]+Table15[[#This Row],[Column9]]+Table15[[#This Row],[Column7]]</f>
        <v>271502184</v>
      </c>
      <c r="K160" s="84">
        <f>Table15[[#This Row],[5008382758.0000]]/درآمدها!$C$12</f>
        <v>3.7886582107670735E-2</v>
      </c>
    </row>
    <row r="161" spans="1:11" ht="23.1" customHeight="1" x14ac:dyDescent="0.45">
      <c r="A161" s="82" t="s">
        <v>239</v>
      </c>
      <c r="B161" s="35">
        <v>0</v>
      </c>
      <c r="C161" s="35">
        <v>0</v>
      </c>
      <c r="D161" s="35">
        <v>0</v>
      </c>
      <c r="E161" s="35">
        <f>Table15[[#This Row],[0]]+Table15[[#This Row],[1052073440.0000]]+Table15[[#This Row],[2243711990.0000]]</f>
        <v>0</v>
      </c>
      <c r="F161" s="84">
        <f>Table15[[#This Row],[3295785430.0000]]/درآمدها!$C$12</f>
        <v>0</v>
      </c>
      <c r="G161" s="35">
        <v>0</v>
      </c>
      <c r="H161" s="83">
        <v>-14976821</v>
      </c>
      <c r="I161" s="83">
        <v>14752062</v>
      </c>
      <c r="J161" s="83">
        <f>Table15[[#This Row],[2764670768.0000]]+Table15[[#This Row],[Column9]]+Table15[[#This Row],[Column7]]</f>
        <v>-224759</v>
      </c>
      <c r="K161" s="84">
        <f>Table15[[#This Row],[5008382758.0000]]/درآمدها!$C$12</f>
        <v>-3.1363837235055045E-5</v>
      </c>
    </row>
    <row r="162" spans="1:11" ht="23.1" customHeight="1" x14ac:dyDescent="0.45">
      <c r="A162" s="82" t="s">
        <v>184</v>
      </c>
      <c r="B162" s="35">
        <v>0</v>
      </c>
      <c r="C162" s="35">
        <v>0</v>
      </c>
      <c r="D162" s="35">
        <v>0</v>
      </c>
      <c r="E162" s="35">
        <f>Table15[[#This Row],[0]]+Table15[[#This Row],[1052073440.0000]]+Table15[[#This Row],[2243711990.0000]]</f>
        <v>0</v>
      </c>
      <c r="F162" s="84">
        <f>Table15[[#This Row],[3295785430.0000]]/درآمدها!$C$12</f>
        <v>0</v>
      </c>
      <c r="G162" s="35">
        <v>0</v>
      </c>
      <c r="H162" s="35">
        <v>0</v>
      </c>
      <c r="I162" s="83">
        <v>1109932761</v>
      </c>
      <c r="J162" s="83">
        <f>Table15[[#This Row],[2764670768.0000]]+Table15[[#This Row],[Column9]]+Table15[[#This Row],[Column7]]</f>
        <v>1109932761</v>
      </c>
      <c r="K162" s="84">
        <f>Table15[[#This Row],[5008382758.0000]]/درآمدها!$C$12</f>
        <v>0.15488478974305481</v>
      </c>
    </row>
    <row r="163" spans="1:11" ht="23.1" customHeight="1" x14ac:dyDescent="0.45">
      <c r="A163" s="82" t="s">
        <v>192</v>
      </c>
      <c r="B163" s="35">
        <v>0</v>
      </c>
      <c r="C163" s="35">
        <v>0</v>
      </c>
      <c r="D163" s="35">
        <v>0</v>
      </c>
      <c r="E163" s="35">
        <f>Table15[[#This Row],[0]]+Table15[[#This Row],[1052073440.0000]]+Table15[[#This Row],[2243711990.0000]]</f>
        <v>0</v>
      </c>
      <c r="F163" s="84">
        <f>Table15[[#This Row],[3295785430.0000]]/درآمدها!$C$12</f>
        <v>0</v>
      </c>
      <c r="G163" s="35">
        <v>0</v>
      </c>
      <c r="H163" s="35">
        <v>0</v>
      </c>
      <c r="I163" s="83">
        <v>164621303</v>
      </c>
      <c r="J163" s="83">
        <f>Table15[[#This Row],[2764670768.0000]]+Table15[[#This Row],[Column9]]+Table15[[#This Row],[Column7]]</f>
        <v>164621303</v>
      </c>
      <c r="K163" s="84">
        <f>Table15[[#This Row],[5008382758.0000]]/درآمدها!$C$12</f>
        <v>2.2971964427296255E-2</v>
      </c>
    </row>
    <row r="164" spans="1:11" ht="23.1" customHeight="1" x14ac:dyDescent="0.45">
      <c r="A164" s="82" t="s">
        <v>166</v>
      </c>
      <c r="B164" s="35">
        <v>0</v>
      </c>
      <c r="C164" s="35">
        <v>0</v>
      </c>
      <c r="D164" s="35">
        <v>0</v>
      </c>
      <c r="E164" s="35">
        <f>Table15[[#This Row],[0]]+Table15[[#This Row],[1052073440.0000]]+Table15[[#This Row],[2243711990.0000]]</f>
        <v>0</v>
      </c>
      <c r="F164" s="84">
        <f>Table15[[#This Row],[3295785430.0000]]/درآمدها!$C$12</f>
        <v>0</v>
      </c>
      <c r="G164" s="35">
        <v>0</v>
      </c>
      <c r="H164" s="35">
        <v>0</v>
      </c>
      <c r="I164" s="83">
        <v>4252680</v>
      </c>
      <c r="J164" s="83">
        <f>Table15[[#This Row],[2764670768.0000]]+Table15[[#This Row],[Column9]]+Table15[[#This Row],[Column7]]</f>
        <v>4252680</v>
      </c>
      <c r="K164" s="84">
        <f>Table15[[#This Row],[5008382758.0000]]/درآمدها!$C$12</f>
        <v>5.93437252046743E-4</v>
      </c>
    </row>
    <row r="165" spans="1:11" ht="23.1" customHeight="1" x14ac:dyDescent="0.45">
      <c r="A165" s="82" t="s">
        <v>176</v>
      </c>
      <c r="B165" s="35">
        <v>0</v>
      </c>
      <c r="C165" s="35">
        <v>0</v>
      </c>
      <c r="D165" s="35">
        <v>0</v>
      </c>
      <c r="E165" s="35">
        <f>Table15[[#This Row],[0]]+Table15[[#This Row],[1052073440.0000]]+Table15[[#This Row],[2243711990.0000]]</f>
        <v>0</v>
      </c>
      <c r="F165" s="84">
        <f>Table15[[#This Row],[3295785430.0000]]/درآمدها!$C$12</f>
        <v>0</v>
      </c>
      <c r="G165" s="35">
        <v>0</v>
      </c>
      <c r="H165" s="35">
        <v>0</v>
      </c>
      <c r="I165" s="83">
        <v>346684146</v>
      </c>
      <c r="J165" s="83">
        <f>Table15[[#This Row],[2764670768.0000]]+Table15[[#This Row],[Column9]]+Table15[[#This Row],[Column7]]</f>
        <v>346684146</v>
      </c>
      <c r="K165" s="84">
        <f>Table15[[#This Row],[5008382758.0000]]/درآمدها!$C$12</f>
        <v>4.8377796337935569E-2</v>
      </c>
    </row>
    <row r="166" spans="1:11" ht="23.1" customHeight="1" x14ac:dyDescent="0.45">
      <c r="A166" s="82" t="s">
        <v>190</v>
      </c>
      <c r="B166" s="35">
        <v>0</v>
      </c>
      <c r="C166" s="35">
        <v>0</v>
      </c>
      <c r="D166" s="35">
        <v>0</v>
      </c>
      <c r="E166" s="35">
        <f>Table15[[#This Row],[0]]+Table15[[#This Row],[1052073440.0000]]+Table15[[#This Row],[2243711990.0000]]</f>
        <v>0</v>
      </c>
      <c r="F166" s="84">
        <f>Table15[[#This Row],[3295785430.0000]]/درآمدها!$C$12</f>
        <v>0</v>
      </c>
      <c r="G166" s="35">
        <v>0</v>
      </c>
      <c r="H166" s="83">
        <v>2862850</v>
      </c>
      <c r="I166" s="83">
        <v>1272631407</v>
      </c>
      <c r="J166" s="83">
        <f>Table15[[#This Row],[2764670768.0000]]+Table15[[#This Row],[Column9]]+Table15[[#This Row],[Column7]]</f>
        <v>1275494257</v>
      </c>
      <c r="K166" s="84">
        <f>Table15[[#This Row],[5008382758.0000]]/درآمدها!$C$12</f>
        <v>0.17798795274403015</v>
      </c>
    </row>
    <row r="167" spans="1:11" ht="23.1" customHeight="1" x14ac:dyDescent="0.45">
      <c r="A167" s="82" t="s">
        <v>188</v>
      </c>
      <c r="B167" s="35">
        <v>0</v>
      </c>
      <c r="C167" s="35">
        <v>0</v>
      </c>
      <c r="D167" s="35">
        <v>0</v>
      </c>
      <c r="E167" s="35">
        <f>Table15[[#This Row],[0]]+Table15[[#This Row],[1052073440.0000]]+Table15[[#This Row],[2243711990.0000]]</f>
        <v>0</v>
      </c>
      <c r="F167" s="84">
        <f>Table15[[#This Row],[3295785430.0000]]/درآمدها!$C$12</f>
        <v>0</v>
      </c>
      <c r="G167" s="35">
        <v>0</v>
      </c>
      <c r="H167" s="83">
        <v>554624742</v>
      </c>
      <c r="I167" s="83">
        <v>64043081</v>
      </c>
      <c r="J167" s="83">
        <f>Table15[[#This Row],[2764670768.0000]]+Table15[[#This Row],[Column9]]+Table15[[#This Row],[Column7]]</f>
        <v>618667823</v>
      </c>
      <c r="K167" s="84">
        <f>Table15[[#This Row],[5008382758.0000]]/درآمدها!$C$12</f>
        <v>8.6331568049056298E-2</v>
      </c>
    </row>
    <row r="168" spans="1:11" ht="23.1" customHeight="1" x14ac:dyDescent="0.45">
      <c r="A168" s="82" t="s">
        <v>165</v>
      </c>
      <c r="B168" s="35">
        <v>0</v>
      </c>
      <c r="C168" s="35">
        <v>0</v>
      </c>
      <c r="D168" s="35">
        <v>0</v>
      </c>
      <c r="E168" s="35">
        <f>Table15[[#This Row],[0]]+Table15[[#This Row],[1052073440.0000]]+Table15[[#This Row],[2243711990.0000]]</f>
        <v>0</v>
      </c>
      <c r="F168" s="84">
        <f>Table15[[#This Row],[3295785430.0000]]/درآمدها!$C$12</f>
        <v>0</v>
      </c>
      <c r="G168" s="35">
        <v>0</v>
      </c>
      <c r="H168" s="35">
        <v>0</v>
      </c>
      <c r="I168" s="83">
        <v>359233480</v>
      </c>
      <c r="J168" s="83">
        <f>Table15[[#This Row],[2764670768.0000]]+Table15[[#This Row],[Column9]]+Table15[[#This Row],[Column7]]</f>
        <v>359233480</v>
      </c>
      <c r="K168" s="84">
        <f>Table15[[#This Row],[5008382758.0000]]/درآمدها!$C$12</f>
        <v>5.0128984361482311E-2</v>
      </c>
    </row>
    <row r="169" spans="1:11" ht="23.1" customHeight="1" x14ac:dyDescent="0.45">
      <c r="A169" s="82" t="s">
        <v>163</v>
      </c>
      <c r="B169" s="35">
        <v>0</v>
      </c>
      <c r="C169" s="35">
        <v>0</v>
      </c>
      <c r="D169" s="35">
        <v>0</v>
      </c>
      <c r="E169" s="35">
        <f>Table15[[#This Row],[0]]+Table15[[#This Row],[1052073440.0000]]+Table15[[#This Row],[2243711990.0000]]</f>
        <v>0</v>
      </c>
      <c r="F169" s="84">
        <f>Table15[[#This Row],[3295785430.0000]]/درآمدها!$C$12</f>
        <v>0</v>
      </c>
      <c r="G169" s="35">
        <v>0</v>
      </c>
      <c r="H169" s="35">
        <v>0</v>
      </c>
      <c r="I169" s="83">
        <v>856524236</v>
      </c>
      <c r="J169" s="83">
        <f>Table15[[#This Row],[2764670768.0000]]+Table15[[#This Row],[Column9]]+Table15[[#This Row],[Column7]]</f>
        <v>856524236</v>
      </c>
      <c r="K169" s="84">
        <f>Table15[[#This Row],[5008382758.0000]]/درآمدها!$C$12</f>
        <v>0.11952307460784163</v>
      </c>
    </row>
    <row r="170" spans="1:11" ht="23.1" customHeight="1" thickBot="1" x14ac:dyDescent="0.5">
      <c r="A170" s="82" t="s">
        <v>178</v>
      </c>
      <c r="B170" s="35">
        <v>0</v>
      </c>
      <c r="C170" s="35">
        <v>0</v>
      </c>
      <c r="D170" s="35">
        <v>0</v>
      </c>
      <c r="E170" s="35">
        <f>Table15[[#This Row],[0]]+Table15[[#This Row],[1052073440.0000]]+Table15[[#This Row],[2243711990.0000]]</f>
        <v>0</v>
      </c>
      <c r="F170" s="84">
        <f>Table15[[#This Row],[3295785430.0000]]/درآمدها!$C$12</f>
        <v>0</v>
      </c>
      <c r="G170" s="35">
        <v>0</v>
      </c>
      <c r="H170" s="83">
        <v>86000000</v>
      </c>
      <c r="I170" s="83">
        <v>9153315</v>
      </c>
      <c r="J170" s="83">
        <f>Table15[[#This Row],[2764670768.0000]]+Table15[[#This Row],[Column9]]+Table15[[#This Row],[Column7]]</f>
        <v>95153315</v>
      </c>
      <c r="K170" s="84">
        <f>Table15[[#This Row],[5008382758.0000]]/درآمدها!$C$12</f>
        <v>1.3278102696826031E-2</v>
      </c>
    </row>
    <row r="171" spans="1:11" ht="23.1" customHeight="1" thickBot="1" x14ac:dyDescent="0.5">
      <c r="A171" s="85" t="s">
        <v>60</v>
      </c>
      <c r="B171" s="86">
        <f t="shared" ref="B171:H171" si="0">SUBTOTAL(109,B11:B170)</f>
        <v>3030398142</v>
      </c>
      <c r="C171" s="43">
        <f t="shared" si="0"/>
        <v>0</v>
      </c>
      <c r="D171" s="43">
        <f t="shared" si="0"/>
        <v>0</v>
      </c>
      <c r="E171" s="86">
        <f>SUBTOTAL(109,E11:E170)</f>
        <v>3030398142</v>
      </c>
      <c r="F171" s="103">
        <f>SUBTOTAL(109,F11:F170)</f>
        <v>0.42287478625150149</v>
      </c>
      <c r="G171" s="86">
        <f t="shared" si="0"/>
        <v>5914425814</v>
      </c>
      <c r="H171" s="86">
        <f t="shared" si="0"/>
        <v>-75575878686</v>
      </c>
      <c r="I171" s="86">
        <f>SUBTOTAL(109,I11:I170)</f>
        <v>167782816145</v>
      </c>
      <c r="J171" s="86">
        <f>SUBTOTAL(109,J11:J170)</f>
        <v>98121363273</v>
      </c>
      <c r="K171" s="103">
        <f>SUBTOTAL(109,K11:K170)</f>
        <v>13.692276914277425</v>
      </c>
    </row>
    <row r="172" spans="1:11" ht="23.1" customHeight="1" thickTop="1" x14ac:dyDescent="0.45">
      <c r="A172" s="12"/>
      <c r="B172" s="76"/>
      <c r="C172" s="27"/>
      <c r="D172" s="27"/>
      <c r="E172" s="27"/>
      <c r="F172" s="30"/>
      <c r="G172" s="27"/>
    </row>
    <row r="173" spans="1:11" x14ac:dyDescent="0.45">
      <c r="D173" s="90"/>
      <c r="I173" s="90"/>
    </row>
    <row r="174" spans="1:11" x14ac:dyDescent="0.45">
      <c r="D174" s="90"/>
      <c r="E174" s="87"/>
      <c r="H174" s="87"/>
      <c r="I174" s="76"/>
    </row>
    <row r="175" spans="1:11" x14ac:dyDescent="0.45">
      <c r="C175" s="90"/>
      <c r="D175" s="90"/>
    </row>
    <row r="176" spans="1:11" x14ac:dyDescent="0.45">
      <c r="I176" s="90"/>
    </row>
    <row r="177" spans="4:4" x14ac:dyDescent="0.45">
      <c r="D177" s="87"/>
    </row>
  </sheetData>
  <mergeCells count="15">
    <mergeCell ref="A1:K1"/>
    <mergeCell ref="A2:K2"/>
    <mergeCell ref="A3:K3"/>
    <mergeCell ref="E8:F9"/>
    <mergeCell ref="J8:K9"/>
    <mergeCell ref="A5:K5"/>
    <mergeCell ref="G7:K7"/>
    <mergeCell ref="B7:F7"/>
    <mergeCell ref="A8:A10"/>
    <mergeCell ref="B8:B10"/>
    <mergeCell ref="C8:C10"/>
    <mergeCell ref="D8:D10"/>
    <mergeCell ref="G8:G10"/>
    <mergeCell ref="H8:H10"/>
    <mergeCell ref="I8:I10"/>
  </mergeCells>
  <pageMargins left="0.7" right="0.7" top="0.75" bottom="0.75" header="0.3" footer="0.3"/>
  <pageSetup paperSize="9" scale="70" orientation="landscape" horizontalDpi="4294967295" verticalDpi="4294967295" r:id="rId1"/>
  <headerFooter differentOddEven="1" differentFirst="1"/>
  <ignoredErrors>
    <ignoredError sqref="K171" calculatedColumn="1"/>
  </ignoredErrors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3"/>
  <sheetViews>
    <sheetView rightToLeft="1" view="pageBreakPreview" zoomScale="106" zoomScaleNormal="100" zoomScaleSheetLayoutView="106" workbookViewId="0">
      <selection activeCell="K1" sqref="K1"/>
    </sheetView>
  </sheetViews>
  <sheetFormatPr defaultColWidth="9" defaultRowHeight="18" x14ac:dyDescent="0.45"/>
  <cols>
    <col min="1" max="1" width="34.28515625" style="9" customWidth="1"/>
    <col min="2" max="2" width="13" style="9" customWidth="1"/>
    <col min="3" max="3" width="13.85546875" style="9" customWidth="1"/>
    <col min="4" max="6" width="13" style="9" customWidth="1"/>
    <col min="7" max="7" width="14.7109375" style="9" bestFit="1" customWidth="1"/>
    <col min="8" max="9" width="13" style="9" customWidth="1"/>
    <col min="10" max="10" width="9" style="10" customWidth="1"/>
    <col min="11" max="16384" width="9" style="10"/>
  </cols>
  <sheetData>
    <row r="1" spans="1:9" ht="19.5" x14ac:dyDescent="0.45">
      <c r="A1" s="158" t="s">
        <v>0</v>
      </c>
      <c r="B1" s="158"/>
      <c r="C1" s="158"/>
      <c r="D1" s="158"/>
      <c r="E1" s="158"/>
      <c r="F1" s="158"/>
      <c r="G1" s="158"/>
      <c r="H1" s="158"/>
      <c r="I1" s="158"/>
    </row>
    <row r="2" spans="1:9" ht="19.5" x14ac:dyDescent="0.45">
      <c r="A2" s="158" t="s">
        <v>76</v>
      </c>
      <c r="B2" s="158"/>
      <c r="C2" s="158"/>
      <c r="D2" s="158"/>
      <c r="E2" s="158"/>
      <c r="F2" s="158"/>
      <c r="G2" s="158"/>
      <c r="H2" s="158"/>
      <c r="I2" s="158"/>
    </row>
    <row r="3" spans="1:9" ht="19.5" x14ac:dyDescent="0.45">
      <c r="A3" s="158" t="s">
        <v>271</v>
      </c>
      <c r="B3" s="158"/>
      <c r="C3" s="158"/>
      <c r="D3" s="158"/>
      <c r="E3" s="158"/>
      <c r="F3" s="158"/>
      <c r="G3" s="158"/>
      <c r="H3" s="158"/>
      <c r="I3" s="158"/>
    </row>
    <row r="4" spans="1:9" ht="19.5" x14ac:dyDescent="0.45">
      <c r="A4" s="161" t="s">
        <v>123</v>
      </c>
      <c r="B4" s="161"/>
      <c r="C4" s="161"/>
      <c r="D4" s="161"/>
      <c r="E4" s="161"/>
      <c r="F4" s="161"/>
      <c r="G4" s="161"/>
      <c r="H4" s="161"/>
      <c r="I4" s="161"/>
    </row>
    <row r="6" spans="1:9" ht="19.5" customHeight="1" thickBot="1" x14ac:dyDescent="0.5">
      <c r="A6" s="88"/>
      <c r="B6" s="160" t="s">
        <v>273</v>
      </c>
      <c r="C6" s="160"/>
      <c r="D6" s="160"/>
      <c r="E6" s="160"/>
      <c r="F6" s="160" t="s">
        <v>274</v>
      </c>
      <c r="G6" s="160"/>
      <c r="H6" s="160"/>
      <c r="I6" s="160"/>
    </row>
    <row r="7" spans="1:9" ht="20.25" customHeight="1" x14ac:dyDescent="0.45">
      <c r="A7" s="164"/>
      <c r="B7" s="159" t="s">
        <v>124</v>
      </c>
      <c r="C7" s="159" t="s">
        <v>125</v>
      </c>
      <c r="D7" s="159" t="s">
        <v>126</v>
      </c>
      <c r="E7" s="159" t="s">
        <v>60</v>
      </c>
      <c r="F7" s="159" t="s">
        <v>124</v>
      </c>
      <c r="G7" s="159" t="s">
        <v>125</v>
      </c>
      <c r="H7" s="159" t="s">
        <v>126</v>
      </c>
      <c r="I7" s="159" t="s">
        <v>60</v>
      </c>
    </row>
    <row r="8" spans="1:9" ht="20.25" customHeight="1" thickBot="1" x14ac:dyDescent="0.5">
      <c r="A8" s="165"/>
      <c r="B8" s="160"/>
      <c r="C8" s="160"/>
      <c r="D8" s="160"/>
      <c r="E8" s="160"/>
      <c r="F8" s="160"/>
      <c r="G8" s="160"/>
      <c r="H8" s="160"/>
      <c r="I8" s="160"/>
    </row>
    <row r="9" spans="1:9" ht="23.1" customHeight="1" thickBot="1" x14ac:dyDescent="0.5">
      <c r="A9" s="82" t="s">
        <v>63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89">
        <v>903385103</v>
      </c>
      <c r="I9" s="89">
        <v>903385103</v>
      </c>
    </row>
    <row r="10" spans="1:9" ht="23.1" customHeight="1" x14ac:dyDescent="0.45">
      <c r="A10" s="53" t="s">
        <v>60</v>
      </c>
      <c r="B10" s="43">
        <f t="shared" ref="B10:I10" si="0">SUBTOTAL(109,B9)</f>
        <v>0</v>
      </c>
      <c r="C10" s="43">
        <f t="shared" si="0"/>
        <v>0</v>
      </c>
      <c r="D10" s="43">
        <f t="shared" si="0"/>
        <v>0</v>
      </c>
      <c r="E10" s="43">
        <f t="shared" si="0"/>
        <v>0</v>
      </c>
      <c r="F10" s="43">
        <f t="shared" si="0"/>
        <v>0</v>
      </c>
      <c r="G10" s="43">
        <f t="shared" si="0"/>
        <v>0</v>
      </c>
      <c r="H10" s="102">
        <f t="shared" si="0"/>
        <v>903385103</v>
      </c>
      <c r="I10" s="67">
        <f t="shared" si="0"/>
        <v>903385103</v>
      </c>
    </row>
    <row r="11" spans="1:9" ht="23.1" customHeight="1" x14ac:dyDescent="0.45">
      <c r="A11" s="29" t="s">
        <v>61</v>
      </c>
      <c r="B11" s="27"/>
      <c r="C11" s="27"/>
      <c r="D11" s="27"/>
      <c r="E11" s="27"/>
      <c r="F11" s="27"/>
      <c r="G11" s="27"/>
      <c r="H11" s="27"/>
      <c r="I11" s="27"/>
    </row>
    <row r="12" spans="1:9" x14ac:dyDescent="0.45">
      <c r="C12" s="90"/>
    </row>
    <row r="13" spans="1:9" x14ac:dyDescent="0.45">
      <c r="C13" s="87"/>
      <c r="E13" s="87"/>
    </row>
  </sheetData>
  <mergeCells count="15">
    <mergeCell ref="E7:E8"/>
    <mergeCell ref="I7:I8"/>
    <mergeCell ref="A1:I1"/>
    <mergeCell ref="A2:I2"/>
    <mergeCell ref="A3:I3"/>
    <mergeCell ref="B7:B8"/>
    <mergeCell ref="C7:C8"/>
    <mergeCell ref="D7:D8"/>
    <mergeCell ref="F7:F8"/>
    <mergeCell ref="G7:G8"/>
    <mergeCell ref="H7:H8"/>
    <mergeCell ref="A4:I4"/>
    <mergeCell ref="B6:E6"/>
    <mergeCell ref="F6:I6"/>
    <mergeCell ref="A7:A8"/>
  </mergeCells>
  <pageMargins left="0.7" right="0.7" top="0.75" bottom="0.75" header="0.3" footer="0.3"/>
  <pageSetup paperSize="9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EB324-D61A-488A-8EA4-C50FFD5EA032}">
  <dimension ref="A1:K13"/>
  <sheetViews>
    <sheetView rightToLeft="1" view="pageBreakPreview" zoomScale="106" zoomScaleNormal="100" zoomScaleSheetLayoutView="106" workbookViewId="0">
      <selection activeCell="D13" sqref="D13"/>
    </sheetView>
  </sheetViews>
  <sheetFormatPr defaultColWidth="9" defaultRowHeight="18" x14ac:dyDescent="0.45"/>
  <cols>
    <col min="1" max="1" width="17.42578125" style="9" bestFit="1" customWidth="1"/>
    <col min="2" max="2" width="13" style="9" customWidth="1"/>
    <col min="3" max="3" width="13.85546875" style="9" customWidth="1"/>
    <col min="4" max="5" width="13" style="9" customWidth="1"/>
    <col min="6" max="6" width="17" style="9" bestFit="1" customWidth="1"/>
    <col min="7" max="7" width="15.42578125" style="9" bestFit="1" customWidth="1"/>
    <col min="8" max="8" width="14.7109375" style="9" bestFit="1" customWidth="1"/>
    <col min="9" max="9" width="11.85546875" style="9" bestFit="1" customWidth="1"/>
    <col min="10" max="10" width="13" style="9" customWidth="1"/>
    <col min="11" max="11" width="17" style="10" bestFit="1" customWidth="1"/>
    <col min="12" max="16384" width="9" style="10"/>
  </cols>
  <sheetData>
    <row r="1" spans="1:11" ht="19.5" x14ac:dyDescent="0.4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1" ht="19.5" x14ac:dyDescent="0.45">
      <c r="A2" s="158" t="s">
        <v>76</v>
      </c>
      <c r="B2" s="158"/>
      <c r="C2" s="158"/>
      <c r="D2" s="158"/>
      <c r="E2" s="158"/>
      <c r="F2" s="158"/>
      <c r="G2" s="158"/>
      <c r="H2" s="158"/>
      <c r="I2" s="158"/>
      <c r="J2" s="158"/>
    </row>
    <row r="3" spans="1:11" ht="19.5" x14ac:dyDescent="0.45">
      <c r="A3" s="158" t="s">
        <v>271</v>
      </c>
      <c r="B3" s="158"/>
      <c r="C3" s="158"/>
      <c r="D3" s="158"/>
      <c r="E3" s="158"/>
      <c r="F3" s="158"/>
      <c r="G3" s="158"/>
      <c r="H3" s="158"/>
      <c r="I3" s="158"/>
      <c r="J3" s="158"/>
    </row>
    <row r="4" spans="1:11" ht="19.5" x14ac:dyDescent="0.45">
      <c r="A4" s="161" t="s">
        <v>123</v>
      </c>
      <c r="B4" s="161"/>
      <c r="C4" s="161"/>
      <c r="D4" s="161"/>
      <c r="E4" s="161"/>
      <c r="F4" s="161"/>
      <c r="G4" s="161"/>
      <c r="H4" s="161"/>
      <c r="I4" s="161"/>
      <c r="J4" s="161"/>
    </row>
    <row r="6" spans="1:11" ht="19.5" customHeight="1" thickBot="1" x14ac:dyDescent="0.5">
      <c r="A6" s="88"/>
      <c r="B6" s="160" t="s">
        <v>273</v>
      </c>
      <c r="C6" s="160"/>
      <c r="D6" s="160"/>
      <c r="E6" s="163"/>
      <c r="F6" s="163"/>
      <c r="G6" s="160" t="s">
        <v>274</v>
      </c>
      <c r="H6" s="160"/>
      <c r="I6" s="160"/>
      <c r="J6" s="160"/>
    </row>
    <row r="7" spans="1:11" ht="20.25" customHeight="1" thickBot="1" x14ac:dyDescent="0.5">
      <c r="A7" s="167" t="s">
        <v>196</v>
      </c>
      <c r="B7" s="159" t="s">
        <v>197</v>
      </c>
      <c r="C7" s="159" t="s">
        <v>125</v>
      </c>
      <c r="D7" s="159" t="s">
        <v>126</v>
      </c>
      <c r="E7" s="166" t="s">
        <v>60</v>
      </c>
      <c r="F7" s="166"/>
      <c r="G7" s="159" t="s">
        <v>197</v>
      </c>
      <c r="H7" s="159" t="s">
        <v>125</v>
      </c>
      <c r="I7" s="159" t="s">
        <v>126</v>
      </c>
      <c r="J7" s="166" t="s">
        <v>60</v>
      </c>
      <c r="K7" s="166"/>
    </row>
    <row r="8" spans="1:11" ht="20.25" customHeight="1" thickBot="1" x14ac:dyDescent="0.5">
      <c r="A8" s="162"/>
      <c r="B8" s="160"/>
      <c r="C8" s="160"/>
      <c r="D8" s="160"/>
      <c r="E8" s="80" t="s">
        <v>67</v>
      </c>
      <c r="F8" s="80" t="s">
        <v>131</v>
      </c>
      <c r="G8" s="160"/>
      <c r="H8" s="160"/>
      <c r="I8" s="160"/>
      <c r="J8" s="80" t="s">
        <v>67</v>
      </c>
      <c r="K8" s="80" t="s">
        <v>131</v>
      </c>
    </row>
    <row r="9" spans="1:11" ht="23.1" customHeight="1" thickBot="1" x14ac:dyDescent="0.5">
      <c r="A9" s="82" t="s">
        <v>160</v>
      </c>
      <c r="B9" s="35"/>
      <c r="C9" s="35"/>
      <c r="D9" s="35"/>
      <c r="E9" s="35"/>
      <c r="F9" s="35"/>
      <c r="G9" s="35">
        <v>0</v>
      </c>
      <c r="H9" s="35">
        <v>0</v>
      </c>
      <c r="I9" s="89">
        <v>891602</v>
      </c>
      <c r="J9" s="35">
        <v>891602</v>
      </c>
      <c r="K9" s="104">
        <f>Table146[[#This Row],[Column9]]/درآمدها!C12</f>
        <v>1.2441797661695217E-4</v>
      </c>
    </row>
    <row r="10" spans="1:11" ht="23.1" customHeight="1" x14ac:dyDescent="0.45">
      <c r="A10" s="53" t="s">
        <v>60</v>
      </c>
      <c r="B10" s="43"/>
      <c r="C10" s="43"/>
      <c r="D10" s="43"/>
      <c r="E10" s="43"/>
      <c r="F10" s="43"/>
      <c r="G10" s="43">
        <f t="shared" ref="G10:J10" si="0">SUBTOTAL(109,G9)</f>
        <v>0</v>
      </c>
      <c r="H10" s="43">
        <f t="shared" si="0"/>
        <v>0</v>
      </c>
      <c r="I10" s="102">
        <f t="shared" si="0"/>
        <v>891602</v>
      </c>
      <c r="J10" s="43">
        <f t="shared" si="0"/>
        <v>891602</v>
      </c>
      <c r="K10" s="43">
        <f>SUM(K9)</f>
        <v>1.2441797661695217E-4</v>
      </c>
    </row>
    <row r="11" spans="1:11" ht="23.1" customHeight="1" x14ac:dyDescent="0.45">
      <c r="A11" s="29" t="s">
        <v>61</v>
      </c>
      <c r="B11" s="27"/>
      <c r="C11" s="27"/>
      <c r="D11" s="27"/>
      <c r="E11" s="27"/>
      <c r="F11" s="27"/>
      <c r="G11" s="27"/>
      <c r="H11" s="27"/>
      <c r="I11" s="27"/>
      <c r="J11" s="27"/>
    </row>
    <row r="12" spans="1:11" x14ac:dyDescent="0.45">
      <c r="C12" s="90"/>
    </row>
    <row r="13" spans="1:11" x14ac:dyDescent="0.45">
      <c r="C13" s="87"/>
      <c r="F13" s="87"/>
    </row>
  </sheetData>
  <mergeCells count="15">
    <mergeCell ref="H7:H8"/>
    <mergeCell ref="I7:I8"/>
    <mergeCell ref="E7:F7"/>
    <mergeCell ref="J7:K7"/>
    <mergeCell ref="A7:A8"/>
    <mergeCell ref="B7:B8"/>
    <mergeCell ref="C7:C8"/>
    <mergeCell ref="D7:D8"/>
    <mergeCell ref="G7:G8"/>
    <mergeCell ref="A1:J1"/>
    <mergeCell ref="A2:J2"/>
    <mergeCell ref="A3:J3"/>
    <mergeCell ref="A4:J4"/>
    <mergeCell ref="B6:F6"/>
    <mergeCell ref="G6:J6"/>
  </mergeCells>
  <pageMargins left="0.7" right="0.7" top="0.75" bottom="0.75" header="0.3" footer="0.3"/>
  <pageSetup paperSize="9" scale="90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7"/>
  <sheetViews>
    <sheetView rightToLeft="1" view="pageBreakPreview" zoomScale="106" zoomScaleNormal="100" zoomScaleSheetLayoutView="106" workbookViewId="0">
      <selection activeCell="H7" sqref="H7"/>
    </sheetView>
  </sheetViews>
  <sheetFormatPr defaultColWidth="9" defaultRowHeight="18" x14ac:dyDescent="0.45"/>
  <cols>
    <col min="1" max="1" width="22.7109375" style="9" bestFit="1" customWidth="1"/>
    <col min="2" max="2" width="15.5703125" style="9" bestFit="1" customWidth="1"/>
    <col min="3" max="3" width="26.5703125" style="9" bestFit="1" customWidth="1"/>
    <col min="4" max="4" width="23.140625" style="9" bestFit="1" customWidth="1"/>
    <col min="5" max="5" width="26.5703125" style="9" bestFit="1" customWidth="1"/>
    <col min="6" max="6" width="23.140625" style="9" bestFit="1" customWidth="1"/>
    <col min="7" max="7" width="13" style="10" customWidth="1"/>
    <col min="8" max="8" width="9" style="10" customWidth="1"/>
    <col min="9" max="16384" width="9" style="10"/>
  </cols>
  <sheetData>
    <row r="1" spans="1:7" ht="19.5" x14ac:dyDescent="0.45">
      <c r="A1" s="158" t="s">
        <v>0</v>
      </c>
      <c r="B1" s="158"/>
      <c r="C1" s="158"/>
      <c r="D1" s="158"/>
      <c r="E1" s="158"/>
      <c r="F1" s="158"/>
    </row>
    <row r="2" spans="1:7" ht="19.5" x14ac:dyDescent="0.45">
      <c r="A2" s="158" t="s">
        <v>76</v>
      </c>
      <c r="B2" s="158"/>
      <c r="C2" s="158"/>
      <c r="D2" s="158"/>
      <c r="E2" s="158"/>
      <c r="F2" s="158"/>
    </row>
    <row r="3" spans="1:7" ht="19.5" x14ac:dyDescent="0.45">
      <c r="A3" s="158" t="s">
        <v>275</v>
      </c>
      <c r="B3" s="158"/>
      <c r="C3" s="158"/>
      <c r="D3" s="158"/>
      <c r="E3" s="158"/>
      <c r="F3" s="158"/>
    </row>
    <row r="4" spans="1:7" ht="19.5" x14ac:dyDescent="0.45">
      <c r="A4" s="161" t="s">
        <v>132</v>
      </c>
      <c r="B4" s="161"/>
      <c r="C4" s="161"/>
      <c r="D4" s="161"/>
      <c r="E4" s="161"/>
      <c r="F4" s="161"/>
    </row>
    <row r="5" spans="1:7" ht="18.75" thickBot="1" x14ac:dyDescent="0.5">
      <c r="A5" s="31"/>
      <c r="B5" s="31"/>
      <c r="C5" s="31"/>
      <c r="D5" s="31"/>
      <c r="E5" s="31"/>
      <c r="F5" s="31"/>
    </row>
    <row r="6" spans="1:7" ht="37.5" customHeight="1" thickBot="1" x14ac:dyDescent="0.5">
      <c r="A6" s="166" t="s">
        <v>133</v>
      </c>
      <c r="B6" s="166"/>
      <c r="C6" s="168" t="s">
        <v>273</v>
      </c>
      <c r="D6" s="168"/>
      <c r="E6" s="166" t="s">
        <v>274</v>
      </c>
      <c r="F6" s="166"/>
      <c r="G6" s="11"/>
    </row>
    <row r="7" spans="1:7" ht="59.25" customHeight="1" thickBot="1" x14ac:dyDescent="0.5">
      <c r="A7" s="81" t="s">
        <v>134</v>
      </c>
      <c r="B7" s="80" t="s">
        <v>66</v>
      </c>
      <c r="C7" s="80" t="s">
        <v>135</v>
      </c>
      <c r="D7" s="80" t="s">
        <v>136</v>
      </c>
      <c r="E7" s="80" t="s">
        <v>135</v>
      </c>
      <c r="F7" s="80" t="s">
        <v>136</v>
      </c>
      <c r="G7" s="9"/>
    </row>
    <row r="8" spans="1:7" ht="23.1" customHeight="1" x14ac:dyDescent="0.45">
      <c r="A8" s="91" t="s">
        <v>73</v>
      </c>
      <c r="B8" s="91" t="s">
        <v>74</v>
      </c>
      <c r="C8" s="92">
        <v>261161198</v>
      </c>
      <c r="D8" s="93" t="s">
        <v>276</v>
      </c>
      <c r="E8" s="92">
        <v>2051309522</v>
      </c>
      <c r="F8" s="93" t="s">
        <v>278</v>
      </c>
    </row>
    <row r="9" spans="1:7" ht="23.1" customHeight="1" thickBot="1" x14ac:dyDescent="0.5">
      <c r="A9" s="94" t="s">
        <v>70</v>
      </c>
      <c r="B9" s="94" t="s">
        <v>71</v>
      </c>
      <c r="C9" s="95">
        <v>-213452064</v>
      </c>
      <c r="D9" s="127" t="s">
        <v>277</v>
      </c>
      <c r="E9" s="95">
        <v>1989932193</v>
      </c>
      <c r="F9" s="96" t="s">
        <v>279</v>
      </c>
    </row>
    <row r="10" spans="1:7" ht="23.1" customHeight="1" x14ac:dyDescent="0.45">
      <c r="A10" s="97" t="s">
        <v>60</v>
      </c>
      <c r="B10" s="97"/>
      <c r="C10" s="98">
        <f>SUBTOTAL(109,C8:C9)</f>
        <v>47709134</v>
      </c>
      <c r="D10" s="97"/>
      <c r="E10" s="98">
        <f>SUBTOTAL(109,E8:E9)</f>
        <v>4041241715</v>
      </c>
      <c r="F10" s="97"/>
    </row>
    <row r="11" spans="1:7" ht="23.1" customHeight="1" x14ac:dyDescent="0.45">
      <c r="A11" s="29" t="s">
        <v>61</v>
      </c>
      <c r="B11" s="19"/>
      <c r="C11" s="27"/>
      <c r="D11" s="19"/>
      <c r="E11" s="27"/>
      <c r="F11" s="19"/>
      <c r="G11" s="9"/>
    </row>
    <row r="12" spans="1:7" x14ac:dyDescent="0.45">
      <c r="C12" s="76"/>
      <c r="E12" s="76"/>
    </row>
    <row r="13" spans="1:7" x14ac:dyDescent="0.45">
      <c r="C13" s="76"/>
      <c r="E13" s="76"/>
    </row>
    <row r="14" spans="1:7" x14ac:dyDescent="0.45">
      <c r="C14" s="90"/>
      <c r="E14" s="87"/>
    </row>
    <row r="17" spans="5:5" x14ac:dyDescent="0.45">
      <c r="E17" s="76"/>
    </row>
  </sheetData>
  <mergeCells count="7">
    <mergeCell ref="A6:B6"/>
    <mergeCell ref="C6:D6"/>
    <mergeCell ref="A4:F4"/>
    <mergeCell ref="E6:F6"/>
    <mergeCell ref="A1:F1"/>
    <mergeCell ref="A2:F2"/>
    <mergeCell ref="A3:F3"/>
  </mergeCells>
  <pageMargins left="0.7" right="0.7" top="0.75" bottom="0.75" header="0.3" footer="0.3"/>
  <pageSetup paperSize="9" scale="64" orientation="portrait" horizontalDpi="4294967295" verticalDpi="4294967295" r:id="rId1"/>
  <headerFooter differentOddEven="1" differentFirst="1"/>
  <colBreaks count="1" manualBreakCount="1">
    <brk id="6" max="9" man="1"/>
  </colBreaks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1"/>
  <sheetViews>
    <sheetView rightToLeft="1" view="pageBreakPreview" zoomScale="106" zoomScaleNormal="100" zoomScaleSheetLayoutView="106" workbookViewId="0">
      <selection activeCell="D2" sqref="D2"/>
    </sheetView>
  </sheetViews>
  <sheetFormatPr defaultColWidth="9" defaultRowHeight="18" x14ac:dyDescent="0.45"/>
  <cols>
    <col min="1" max="1" width="18.85546875" style="9" bestFit="1" customWidth="1"/>
    <col min="2" max="2" width="29.7109375" style="9" customWidth="1"/>
    <col min="3" max="3" width="30.42578125" style="9" customWidth="1"/>
    <col min="4" max="4" width="9" style="10" customWidth="1"/>
    <col min="5" max="16384" width="9" style="10"/>
  </cols>
  <sheetData>
    <row r="1" spans="1:3" ht="19.5" x14ac:dyDescent="0.45">
      <c r="A1" s="158" t="s">
        <v>0</v>
      </c>
      <c r="B1" s="158"/>
      <c r="C1" s="158"/>
    </row>
    <row r="2" spans="1:3" ht="19.5" x14ac:dyDescent="0.45">
      <c r="A2" s="158" t="s">
        <v>76</v>
      </c>
      <c r="B2" s="158"/>
      <c r="C2" s="158"/>
    </row>
    <row r="3" spans="1:3" ht="19.5" x14ac:dyDescent="0.45">
      <c r="A3" s="158" t="s">
        <v>271</v>
      </c>
      <c r="B3" s="158"/>
      <c r="C3" s="158"/>
    </row>
    <row r="4" spans="1:3" ht="19.5" x14ac:dyDescent="0.45">
      <c r="A4" s="161" t="s">
        <v>137</v>
      </c>
      <c r="B4" s="161"/>
      <c r="C4" s="161"/>
    </row>
    <row r="5" spans="1:3" ht="20.25" thickBot="1" x14ac:dyDescent="0.5">
      <c r="A5" s="88"/>
      <c r="B5" s="80" t="s">
        <v>273</v>
      </c>
      <c r="C5" s="80" t="s">
        <v>274</v>
      </c>
    </row>
    <row r="6" spans="1:3" ht="16.5" customHeight="1" x14ac:dyDescent="0.45">
      <c r="A6" s="164" t="s">
        <v>89</v>
      </c>
      <c r="B6" s="159" t="s">
        <v>67</v>
      </c>
      <c r="C6" s="159" t="s">
        <v>67</v>
      </c>
    </row>
    <row r="7" spans="1:3" ht="18.75" thickBot="1" x14ac:dyDescent="0.5">
      <c r="A7" s="165"/>
      <c r="B7" s="160"/>
      <c r="C7" s="160"/>
    </row>
    <row r="8" spans="1:3" ht="23.1" customHeight="1" x14ac:dyDescent="0.45">
      <c r="A8" s="82" t="s">
        <v>89</v>
      </c>
      <c r="B8" s="35">
        <v>0</v>
      </c>
      <c r="C8" s="83">
        <v>443251632</v>
      </c>
    </row>
    <row r="9" spans="1:3" ht="23.1" customHeight="1" thickBot="1" x14ac:dyDescent="0.5">
      <c r="A9" s="82" t="s">
        <v>138</v>
      </c>
      <c r="B9" s="35">
        <v>0</v>
      </c>
      <c r="C9" s="83">
        <v>1324508723</v>
      </c>
    </row>
    <row r="10" spans="1:3" ht="23.1" customHeight="1" x14ac:dyDescent="0.45">
      <c r="A10" s="99" t="s">
        <v>60</v>
      </c>
      <c r="B10" s="43">
        <f>SUBTOTAL(109,B8:B9)</f>
        <v>0</v>
      </c>
      <c r="C10" s="98">
        <f>SUBTOTAL(109,C8:C9)</f>
        <v>1767760355</v>
      </c>
    </row>
    <row r="11" spans="1:3" ht="23.1" customHeight="1" x14ac:dyDescent="0.45">
      <c r="A11" s="12" t="s">
        <v>61</v>
      </c>
      <c r="B11" s="14"/>
      <c r="C11" s="14"/>
    </row>
  </sheetData>
  <mergeCells count="7">
    <mergeCell ref="A1:C1"/>
    <mergeCell ref="A2:C2"/>
    <mergeCell ref="A3:C3"/>
    <mergeCell ref="C6:C7"/>
    <mergeCell ref="B6:B7"/>
    <mergeCell ref="A4:C4"/>
    <mergeCell ref="A6:A7"/>
  </mergeCells>
  <pageMargins left="0.7" right="0.7" top="0.75" bottom="0.75" header="0.3" footer="0.3"/>
  <pageSetup paperSize="9" orientation="portrait" horizontalDpi="4294967295" verticalDpi="4294967295" r:id="rId1"/>
  <headerFooter differentOddEven="1" differentFirst="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4"/>
  <sheetViews>
    <sheetView rightToLeft="1" view="pageBreakPreview" zoomScaleNormal="100" zoomScaleSheetLayoutView="100" workbookViewId="0">
      <selection activeCell="N1" sqref="N1"/>
    </sheetView>
  </sheetViews>
  <sheetFormatPr defaultColWidth="9" defaultRowHeight="15.75" x14ac:dyDescent="0.4"/>
  <cols>
    <col min="1" max="1" width="37.140625" style="8" bestFit="1" customWidth="1"/>
    <col min="2" max="2" width="11.140625" style="8" customWidth="1"/>
    <col min="3" max="3" width="16.7109375" style="8" customWidth="1"/>
    <col min="4" max="4" width="15.85546875" style="8" customWidth="1"/>
    <col min="5" max="5" width="11.140625" style="8" customWidth="1"/>
    <col min="6" max="6" width="16.140625" style="8" customWidth="1"/>
    <col min="7" max="7" width="12.28515625" style="8" customWidth="1"/>
    <col min="8" max="8" width="16" style="8" customWidth="1"/>
    <col min="9" max="9" width="12.28515625" style="8" bestFit="1" customWidth="1"/>
    <col min="10" max="10" width="15.42578125" style="8" customWidth="1"/>
    <col min="11" max="11" width="16.7109375" style="8" customWidth="1"/>
    <col min="12" max="12" width="16.140625" style="8" bestFit="1" customWidth="1"/>
    <col min="13" max="13" width="17.5703125" style="8" bestFit="1" customWidth="1"/>
    <col min="14" max="14" width="9" style="4" customWidth="1"/>
    <col min="15" max="15" width="16.7109375" style="4" bestFit="1" customWidth="1"/>
    <col min="16" max="16384" width="9" style="4"/>
  </cols>
  <sheetData>
    <row r="1" spans="1:17" ht="19.5" x14ac:dyDescent="0.4">
      <c r="A1" s="144" t="s">
        <v>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17" ht="19.5" x14ac:dyDescent="0.4">
      <c r="A2" s="144" t="s">
        <v>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7" ht="19.5" x14ac:dyDescent="0.4">
      <c r="A3" s="144" t="s">
        <v>271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17" ht="21.75" x14ac:dyDescent="0.4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</row>
    <row r="5" spans="1:17" ht="21.75" x14ac:dyDescent="0.4">
      <c r="A5" s="141" t="s">
        <v>4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</row>
    <row r="6" spans="1:17" ht="21.75" x14ac:dyDescent="0.4">
      <c r="A6" s="141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</row>
    <row r="7" spans="1:17" ht="18.75" customHeight="1" thickBot="1" x14ac:dyDescent="0.45">
      <c r="A7" s="32"/>
      <c r="B7" s="139" t="s">
        <v>250</v>
      </c>
      <c r="C7" s="139"/>
      <c r="D7" s="139"/>
      <c r="E7" s="138" t="s">
        <v>5</v>
      </c>
      <c r="F7" s="138"/>
      <c r="G7" s="138"/>
      <c r="H7" s="138"/>
      <c r="I7" s="139" t="s">
        <v>270</v>
      </c>
      <c r="J7" s="139"/>
      <c r="K7" s="139"/>
      <c r="L7" s="139"/>
      <c r="M7" s="139"/>
    </row>
    <row r="8" spans="1:17" ht="17.25" customHeight="1" x14ac:dyDescent="0.4">
      <c r="A8" s="145" t="s">
        <v>6</v>
      </c>
      <c r="B8" s="140" t="s">
        <v>7</v>
      </c>
      <c r="C8" s="140" t="s">
        <v>8</v>
      </c>
      <c r="D8" s="140" t="s">
        <v>9</v>
      </c>
      <c r="E8" s="146" t="s">
        <v>10</v>
      </c>
      <c r="F8" s="146"/>
      <c r="G8" s="146" t="s">
        <v>11</v>
      </c>
      <c r="H8" s="146"/>
      <c r="I8" s="140" t="s">
        <v>7</v>
      </c>
      <c r="J8" s="140" t="s">
        <v>12</v>
      </c>
      <c r="K8" s="140" t="s">
        <v>8</v>
      </c>
      <c r="L8" s="140" t="s">
        <v>9</v>
      </c>
      <c r="M8" s="142" t="s">
        <v>13</v>
      </c>
      <c r="O8" s="39" t="s">
        <v>139</v>
      </c>
    </row>
    <row r="9" spans="1:17" ht="20.25" customHeight="1" thickBot="1" x14ac:dyDescent="0.45">
      <c r="A9" s="139"/>
      <c r="B9" s="139"/>
      <c r="C9" s="139"/>
      <c r="D9" s="139"/>
      <c r="E9" s="33" t="s">
        <v>7</v>
      </c>
      <c r="F9" s="33" t="s">
        <v>14</v>
      </c>
      <c r="G9" s="33" t="s">
        <v>7</v>
      </c>
      <c r="H9" s="33" t="s">
        <v>15</v>
      </c>
      <c r="I9" s="139"/>
      <c r="J9" s="139"/>
      <c r="K9" s="139"/>
      <c r="L9" s="139"/>
      <c r="M9" s="143"/>
      <c r="O9" s="40">
        <v>528002744467</v>
      </c>
    </row>
    <row r="10" spans="1:17" ht="23.1" customHeight="1" x14ac:dyDescent="0.4">
      <c r="A10" s="34" t="s">
        <v>115</v>
      </c>
      <c r="B10" s="35">
        <v>54041000</v>
      </c>
      <c r="C10" s="35">
        <v>29578350320</v>
      </c>
      <c r="D10" s="35">
        <v>27026124592</v>
      </c>
      <c r="E10" s="35">
        <v>0</v>
      </c>
      <c r="F10" s="35">
        <v>0</v>
      </c>
      <c r="G10" s="35">
        <v>0</v>
      </c>
      <c r="H10" s="35">
        <v>0</v>
      </c>
      <c r="I10" s="35">
        <v>54041000</v>
      </c>
      <c r="J10" s="35">
        <v>504</v>
      </c>
      <c r="K10" s="35">
        <v>29578350320</v>
      </c>
      <c r="L10" s="35">
        <v>27026124592</v>
      </c>
      <c r="M10" s="36">
        <f>Table1[[#This Row],[10188628360.0000]]/$O$9</f>
        <v>5.1185575975143678E-2</v>
      </c>
    </row>
    <row r="11" spans="1:17" ht="23.1" customHeight="1" x14ac:dyDescent="0.4">
      <c r="A11" s="34" t="s">
        <v>19</v>
      </c>
      <c r="B11" s="35">
        <v>400000</v>
      </c>
      <c r="C11" s="35">
        <v>6030800000</v>
      </c>
      <c r="D11" s="35">
        <v>5390010640</v>
      </c>
      <c r="E11" s="35">
        <v>0</v>
      </c>
      <c r="F11" s="35">
        <v>0</v>
      </c>
      <c r="G11" s="35">
        <v>0</v>
      </c>
      <c r="H11" s="35">
        <v>0</v>
      </c>
      <c r="I11" s="35">
        <v>400000</v>
      </c>
      <c r="J11" s="35">
        <v>13580</v>
      </c>
      <c r="K11" s="35">
        <v>6030800000</v>
      </c>
      <c r="L11" s="35">
        <v>5390010640</v>
      </c>
      <c r="M11" s="36">
        <f>Table1[[#This Row],[10188628360.0000]]/$O$9</f>
        <v>1.0208300423591594E-2</v>
      </c>
    </row>
    <row r="12" spans="1:17" ht="23.1" customHeight="1" x14ac:dyDescent="0.45">
      <c r="A12" s="129" t="s">
        <v>141</v>
      </c>
      <c r="B12" s="35">
        <v>61798000</v>
      </c>
      <c r="C12" s="35">
        <v>33700141047</v>
      </c>
      <c r="D12" s="35">
        <v>24773401792</v>
      </c>
      <c r="E12" s="35">
        <v>4612121</v>
      </c>
      <c r="F12" s="35">
        <v>0</v>
      </c>
      <c r="G12" s="35">
        <v>0</v>
      </c>
      <c r="H12" s="35">
        <v>0</v>
      </c>
      <c r="I12" s="35">
        <v>66410121</v>
      </c>
      <c r="J12" s="35">
        <v>375.94257613233378</v>
      </c>
      <c r="K12" s="35">
        <v>33700141047</v>
      </c>
      <c r="L12" s="35">
        <v>24773401792</v>
      </c>
      <c r="M12" s="36">
        <f>Table1[[#This Row],[10188628360.0000]]/$O$9</f>
        <v>4.6919077697234073E-2</v>
      </c>
      <c r="Q12" s="76"/>
    </row>
    <row r="13" spans="1:17" ht="23.1" customHeight="1" x14ac:dyDescent="0.4">
      <c r="A13" s="34" t="s">
        <v>20</v>
      </c>
      <c r="B13" s="35">
        <v>2800000</v>
      </c>
      <c r="C13" s="35">
        <v>17288070112</v>
      </c>
      <c r="D13" s="35">
        <v>17086889400</v>
      </c>
      <c r="E13" s="35">
        <v>0</v>
      </c>
      <c r="F13" s="35">
        <v>0</v>
      </c>
      <c r="G13" s="35">
        <v>0</v>
      </c>
      <c r="H13" s="35">
        <v>0</v>
      </c>
      <c r="I13" s="35">
        <v>2800000</v>
      </c>
      <c r="J13" s="35">
        <v>6150</v>
      </c>
      <c r="K13" s="35">
        <v>17288070112</v>
      </c>
      <c r="L13" s="35">
        <v>17086889400</v>
      </c>
      <c r="M13" s="36">
        <f>Table1[[#This Row],[10188628360.0000]]/$O$9</f>
        <v>3.2361364744890875E-2</v>
      </c>
    </row>
    <row r="14" spans="1:17" ht="23.1" customHeight="1" x14ac:dyDescent="0.4">
      <c r="A14" s="129" t="s">
        <v>22</v>
      </c>
      <c r="B14" s="35">
        <v>800000</v>
      </c>
      <c r="C14" s="35">
        <v>4690428654</v>
      </c>
      <c r="D14" s="35">
        <v>5302690880</v>
      </c>
      <c r="E14" s="35">
        <v>301000</v>
      </c>
      <c r="F14" s="35">
        <v>0</v>
      </c>
      <c r="G14" s="35">
        <v>0</v>
      </c>
      <c r="H14" s="35">
        <v>0</v>
      </c>
      <c r="I14" s="35">
        <v>1101000</v>
      </c>
      <c r="J14" s="35">
        <v>4853.7693006357849</v>
      </c>
      <c r="K14" s="35">
        <v>4690428654</v>
      </c>
      <c r="L14" s="35">
        <v>5302690880</v>
      </c>
      <c r="M14" s="36">
        <f>Table1[[#This Row],[10188628360.0000]]/$O$9</f>
        <v>1.0042922949866251E-2</v>
      </c>
      <c r="Q14" s="128"/>
    </row>
    <row r="15" spans="1:17" ht="23.1" customHeight="1" x14ac:dyDescent="0.4">
      <c r="A15" s="34" t="s">
        <v>212</v>
      </c>
      <c r="B15" s="35">
        <v>4400000</v>
      </c>
      <c r="C15" s="35">
        <v>16918193056</v>
      </c>
      <c r="D15" s="35">
        <v>15922758237</v>
      </c>
      <c r="E15" s="35">
        <v>3080000</v>
      </c>
      <c r="F15" s="35">
        <v>0</v>
      </c>
      <c r="G15" s="35">
        <v>0</v>
      </c>
      <c r="H15" s="35">
        <v>0</v>
      </c>
      <c r="I15" s="35">
        <v>7480000</v>
      </c>
      <c r="J15" s="35">
        <v>2145.2941176470586</v>
      </c>
      <c r="K15" s="35">
        <v>16918193056</v>
      </c>
      <c r="L15" s="35">
        <v>15922758237</v>
      </c>
      <c r="M15" s="36">
        <f>Table1[[#This Row],[10188628360.0000]]/$O$9</f>
        <v>3.0156582335710128E-2</v>
      </c>
    </row>
    <row r="16" spans="1:17" ht="23.1" customHeight="1" x14ac:dyDescent="0.4">
      <c r="A16" s="34" t="s">
        <v>120</v>
      </c>
      <c r="B16" s="35">
        <v>52000000</v>
      </c>
      <c r="C16" s="35">
        <v>33542318548</v>
      </c>
      <c r="D16" s="35">
        <v>24509069000</v>
      </c>
      <c r="E16" s="35">
        <v>0</v>
      </c>
      <c r="F16" s="35">
        <v>0</v>
      </c>
      <c r="G16" s="35">
        <v>0</v>
      </c>
      <c r="H16" s="35">
        <v>0</v>
      </c>
      <c r="I16" s="35">
        <v>52000000</v>
      </c>
      <c r="J16" s="35">
        <v>475</v>
      </c>
      <c r="K16" s="35">
        <v>33542318548</v>
      </c>
      <c r="L16" s="35">
        <v>24509069000</v>
      </c>
      <c r="M16" s="36">
        <f>Table1[[#This Row],[10188628360.0000]]/$O$9</f>
        <v>4.6418450011544987E-2</v>
      </c>
    </row>
    <row r="17" spans="1:13" ht="23.1" customHeight="1" x14ac:dyDescent="0.4">
      <c r="A17" s="34" t="s">
        <v>24</v>
      </c>
      <c r="B17" s="35">
        <v>11610000</v>
      </c>
      <c r="C17" s="35">
        <v>30673931059</v>
      </c>
      <c r="D17" s="35">
        <v>30068757810</v>
      </c>
      <c r="E17" s="35">
        <v>0</v>
      </c>
      <c r="F17" s="35">
        <v>0</v>
      </c>
      <c r="G17" s="35">
        <v>0</v>
      </c>
      <c r="H17" s="35">
        <v>0</v>
      </c>
      <c r="I17" s="35">
        <v>11610000</v>
      </c>
      <c r="J17" s="35">
        <v>2610.0775193798445</v>
      </c>
      <c r="K17" s="35">
        <v>30673931059</v>
      </c>
      <c r="L17" s="35">
        <v>30068757810</v>
      </c>
      <c r="M17" s="36">
        <f>Table1[[#This Row],[10188628360.0000]]/$O$9</f>
        <v>5.6948108935216506E-2</v>
      </c>
    </row>
    <row r="18" spans="1:13" ht="23.1" customHeight="1" x14ac:dyDescent="0.4">
      <c r="A18" s="34" t="s">
        <v>213</v>
      </c>
      <c r="B18" s="35">
        <v>8700000</v>
      </c>
      <c r="C18" s="35">
        <v>19936120908</v>
      </c>
      <c r="D18" s="35">
        <v>17472683977</v>
      </c>
      <c r="E18" s="35">
        <v>0</v>
      </c>
      <c r="F18" s="35">
        <v>0</v>
      </c>
      <c r="G18" s="35">
        <v>0</v>
      </c>
      <c r="H18" s="35">
        <v>0</v>
      </c>
      <c r="I18" s="35">
        <v>8700000</v>
      </c>
      <c r="J18" s="35">
        <v>2024</v>
      </c>
      <c r="K18" s="35">
        <v>19936120908</v>
      </c>
      <c r="L18" s="35">
        <v>17472683977</v>
      </c>
      <c r="M18" s="36">
        <f>Table1[[#This Row],[10188628360.0000]]/$O$9</f>
        <v>3.3092032494334955E-2</v>
      </c>
    </row>
    <row r="19" spans="1:13" ht="23.1" customHeight="1" x14ac:dyDescent="0.4">
      <c r="A19" s="34" t="s">
        <v>26</v>
      </c>
      <c r="B19" s="35">
        <v>3000000</v>
      </c>
      <c r="C19" s="35">
        <v>23617650385</v>
      </c>
      <c r="D19" s="35">
        <v>18485990100</v>
      </c>
      <c r="E19" s="35">
        <v>0</v>
      </c>
      <c r="F19" s="35">
        <v>0</v>
      </c>
      <c r="G19" s="35">
        <v>0</v>
      </c>
      <c r="H19" s="35">
        <v>0</v>
      </c>
      <c r="I19" s="35">
        <v>3000000</v>
      </c>
      <c r="J19" s="35">
        <v>6210</v>
      </c>
      <c r="K19" s="35">
        <v>23617650385</v>
      </c>
      <c r="L19" s="35">
        <v>18485990100</v>
      </c>
      <c r="M19" s="36">
        <f>Table1[[#This Row],[10188628360.0000]]/$O$9</f>
        <v>3.5011162903444658E-2</v>
      </c>
    </row>
    <row r="20" spans="1:13" ht="23.1" customHeight="1" x14ac:dyDescent="0.4">
      <c r="A20" s="34" t="s">
        <v>142</v>
      </c>
      <c r="B20" s="35">
        <v>13200000</v>
      </c>
      <c r="C20" s="35">
        <v>23640366755</v>
      </c>
      <c r="D20" s="35">
        <v>16582022425</v>
      </c>
      <c r="E20" s="35">
        <v>0</v>
      </c>
      <c r="F20" s="35">
        <v>0</v>
      </c>
      <c r="G20" s="35">
        <v>0</v>
      </c>
      <c r="H20" s="35">
        <v>0</v>
      </c>
      <c r="I20" s="35">
        <v>13200000</v>
      </c>
      <c r="J20" s="35">
        <v>1266</v>
      </c>
      <c r="K20" s="35">
        <v>23640366755</v>
      </c>
      <c r="L20" s="35">
        <v>16582022425</v>
      </c>
      <c r="M20" s="36">
        <f>Table1[[#This Row],[10188628360.0000]]/$O$9</f>
        <v>3.1405182262336462E-2</v>
      </c>
    </row>
    <row r="21" spans="1:13" ht="23.1" customHeight="1" x14ac:dyDescent="0.4">
      <c r="A21" s="34" t="s">
        <v>143</v>
      </c>
      <c r="B21" s="35">
        <v>1800000</v>
      </c>
      <c r="C21" s="35">
        <v>14099179867</v>
      </c>
      <c r="D21" s="35">
        <v>10430742240</v>
      </c>
      <c r="E21" s="35">
        <v>0</v>
      </c>
      <c r="F21" s="35">
        <v>0</v>
      </c>
      <c r="G21" s="35">
        <v>0</v>
      </c>
      <c r="H21" s="35">
        <v>0</v>
      </c>
      <c r="I21" s="35">
        <v>1800000</v>
      </c>
      <c r="J21" s="35">
        <v>5840</v>
      </c>
      <c r="K21" s="35">
        <v>14099179867</v>
      </c>
      <c r="L21" s="35">
        <v>10430742240</v>
      </c>
      <c r="M21" s="36">
        <f>Table1[[#This Row],[10188628360.0000]]/$O$9</f>
        <v>1.9755090952281819E-2</v>
      </c>
    </row>
    <row r="22" spans="1:13" ht="23.1" customHeight="1" x14ac:dyDescent="0.4">
      <c r="A22" s="34" t="s">
        <v>28</v>
      </c>
      <c r="B22" s="35">
        <v>43637919</v>
      </c>
      <c r="C22" s="35">
        <v>43459756687</v>
      </c>
      <c r="D22" s="35">
        <v>37790650791</v>
      </c>
      <c r="E22" s="35">
        <v>0</v>
      </c>
      <c r="F22" s="35">
        <v>0</v>
      </c>
      <c r="G22" s="35">
        <v>0</v>
      </c>
      <c r="H22" s="35">
        <v>0</v>
      </c>
      <c r="I22" s="35">
        <v>43637919</v>
      </c>
      <c r="J22" s="35">
        <v>872.75124668525086</v>
      </c>
      <c r="K22" s="35">
        <v>43459756687</v>
      </c>
      <c r="L22" s="35">
        <v>37790650791</v>
      </c>
      <c r="M22" s="36">
        <f>Table1[[#This Row],[10188628360.0000]]/$O$9</f>
        <v>7.1572830230547987E-2</v>
      </c>
    </row>
    <row r="23" spans="1:13" ht="23.1" customHeight="1" x14ac:dyDescent="0.4">
      <c r="A23" s="34" t="s">
        <v>144</v>
      </c>
      <c r="B23" s="35">
        <v>205405</v>
      </c>
      <c r="C23" s="35">
        <v>517325186</v>
      </c>
      <c r="D23" s="35">
        <v>406615356</v>
      </c>
      <c r="E23" s="35">
        <v>0</v>
      </c>
      <c r="F23" s="35">
        <v>0</v>
      </c>
      <c r="G23" s="35">
        <v>0</v>
      </c>
      <c r="H23" s="35">
        <v>0</v>
      </c>
      <c r="I23" s="35">
        <v>205405</v>
      </c>
      <c r="J23" s="35">
        <v>1900.8167960857816</v>
      </c>
      <c r="K23" s="35">
        <v>487800830</v>
      </c>
      <c r="L23" s="35">
        <v>406615356</v>
      </c>
      <c r="M23" s="36">
        <f>Table1[[#This Row],[10188628360.0000]]/$O$9</f>
        <v>7.7010083803724118E-4</v>
      </c>
    </row>
    <row r="24" spans="1:13" ht="23.1" customHeight="1" x14ac:dyDescent="0.4">
      <c r="A24" s="34" t="s">
        <v>31</v>
      </c>
      <c r="B24" s="35">
        <v>1300000</v>
      </c>
      <c r="C24" s="35">
        <v>18132567364</v>
      </c>
      <c r="D24" s="35">
        <v>17672328700</v>
      </c>
      <c r="E24" s="35">
        <v>0</v>
      </c>
      <c r="F24" s="35">
        <v>0</v>
      </c>
      <c r="G24" s="35">
        <v>0</v>
      </c>
      <c r="H24" s="35">
        <v>0</v>
      </c>
      <c r="I24" s="35">
        <v>1300000</v>
      </c>
      <c r="J24" s="35">
        <v>13700</v>
      </c>
      <c r="K24" s="35">
        <v>18132567364</v>
      </c>
      <c r="L24" s="35">
        <v>17672328700</v>
      </c>
      <c r="M24" s="36">
        <f>Table1[[#This Row],[10188628360.0000]]/$O$9</f>
        <v>3.3470145534640332E-2</v>
      </c>
    </row>
    <row r="25" spans="1:13" ht="23.1" customHeight="1" x14ac:dyDescent="0.4">
      <c r="A25" s="34" t="s">
        <v>33</v>
      </c>
      <c r="B25" s="35">
        <v>6230682</v>
      </c>
      <c r="C25" s="35">
        <v>21185211887</v>
      </c>
      <c r="D25" s="35">
        <v>16868514532</v>
      </c>
      <c r="E25" s="35">
        <v>0</v>
      </c>
      <c r="F25" s="35">
        <v>0</v>
      </c>
      <c r="G25" s="35">
        <v>0</v>
      </c>
      <c r="H25" s="35">
        <v>0</v>
      </c>
      <c r="I25" s="35">
        <v>6230682</v>
      </c>
      <c r="J25" s="35">
        <v>2728.4210526231313</v>
      </c>
      <c r="K25" s="35">
        <v>21185211887</v>
      </c>
      <c r="L25" s="35">
        <v>16868514532</v>
      </c>
      <c r="M25" s="36">
        <f>Table1[[#This Row],[10188628360.0000]]/$O$9</f>
        <v>3.1947778129502273E-2</v>
      </c>
    </row>
    <row r="26" spans="1:13" ht="23.1" customHeight="1" x14ac:dyDescent="0.4">
      <c r="A26" s="129" t="s">
        <v>145</v>
      </c>
      <c r="B26" s="35">
        <v>5754997</v>
      </c>
      <c r="C26" s="35">
        <v>18338062399</v>
      </c>
      <c r="D26" s="35">
        <v>15628811687</v>
      </c>
      <c r="E26" s="35">
        <v>0</v>
      </c>
      <c r="F26" s="35">
        <v>0</v>
      </c>
      <c r="G26" s="35">
        <v>0</v>
      </c>
      <c r="H26" s="35">
        <v>0</v>
      </c>
      <c r="I26" s="35">
        <v>5754997</v>
      </c>
      <c r="J26" s="35">
        <v>2736.849999921807</v>
      </c>
      <c r="K26" s="35">
        <v>18338062399</v>
      </c>
      <c r="L26" s="35">
        <v>15628811687</v>
      </c>
      <c r="M26" s="36">
        <f>Table1[[#This Row],[10188628360.0000]]/$O$9</f>
        <v>2.9599868278671032E-2</v>
      </c>
    </row>
    <row r="27" spans="1:13" ht="23.1" customHeight="1" x14ac:dyDescent="0.4">
      <c r="A27" s="34" t="s">
        <v>214</v>
      </c>
      <c r="B27" s="35">
        <v>11700000</v>
      </c>
      <c r="C27" s="35">
        <v>20919016979</v>
      </c>
      <c r="D27" s="35">
        <v>16891908345</v>
      </c>
      <c r="E27" s="35">
        <v>0</v>
      </c>
      <c r="F27" s="35">
        <v>0</v>
      </c>
      <c r="G27" s="35">
        <v>0</v>
      </c>
      <c r="H27" s="35">
        <v>0</v>
      </c>
      <c r="I27" s="35">
        <v>11700000</v>
      </c>
      <c r="J27" s="35">
        <v>1455</v>
      </c>
      <c r="K27" s="35">
        <v>20919016979</v>
      </c>
      <c r="L27" s="35">
        <v>16891908345</v>
      </c>
      <c r="M27" s="36">
        <f>Table1[[#This Row],[10188628360.0000]]/$O$9</f>
        <v>3.1992084363220083E-2</v>
      </c>
    </row>
    <row r="28" spans="1:13" ht="23.1" customHeight="1" x14ac:dyDescent="0.4">
      <c r="A28" s="34" t="s">
        <v>42</v>
      </c>
      <c r="B28" s="35">
        <v>400000</v>
      </c>
      <c r="C28" s="35">
        <v>2245967683</v>
      </c>
      <c r="D28" s="35">
        <v>2210777560</v>
      </c>
      <c r="E28" s="35">
        <v>0</v>
      </c>
      <c r="F28" s="35">
        <v>0</v>
      </c>
      <c r="G28" s="35">
        <v>0</v>
      </c>
      <c r="H28" s="35">
        <v>0</v>
      </c>
      <c r="I28" s="35">
        <v>400000</v>
      </c>
      <c r="J28" s="35">
        <v>5570</v>
      </c>
      <c r="K28" s="35">
        <v>2245967683</v>
      </c>
      <c r="L28" s="35">
        <v>2210777560</v>
      </c>
      <c r="M28" s="36">
        <f>Table1[[#This Row],[10188628360.0000]]/$O$9</f>
        <v>4.1870569484098071E-3</v>
      </c>
    </row>
    <row r="29" spans="1:13" ht="23.1" customHeight="1" x14ac:dyDescent="0.4">
      <c r="A29" s="34" t="s">
        <v>251</v>
      </c>
      <c r="B29" s="35">
        <v>20112</v>
      </c>
      <c r="C29" s="35">
        <v>626023295</v>
      </c>
      <c r="D29" s="35">
        <v>713645668</v>
      </c>
      <c r="E29" s="35">
        <v>0</v>
      </c>
      <c r="F29" s="35">
        <v>0</v>
      </c>
      <c r="G29" s="35">
        <v>0</v>
      </c>
      <c r="H29" s="35">
        <v>0</v>
      </c>
      <c r="I29" s="35">
        <v>20112</v>
      </c>
      <c r="J29" s="35">
        <v>35760</v>
      </c>
      <c r="K29" s="35">
        <v>626023295</v>
      </c>
      <c r="L29" s="35">
        <v>713645668</v>
      </c>
      <c r="M29" s="36">
        <f>Table1[[#This Row],[10188628360.0000]]/$O$9</f>
        <v>1.3515946185476743E-3</v>
      </c>
    </row>
    <row r="30" spans="1:13" ht="23.1" customHeight="1" x14ac:dyDescent="0.4">
      <c r="A30" s="34" t="s">
        <v>147</v>
      </c>
      <c r="B30" s="35">
        <v>1000000</v>
      </c>
      <c r="C30" s="35">
        <v>567174655</v>
      </c>
      <c r="D30" s="35">
        <v>419730210</v>
      </c>
      <c r="E30" s="35">
        <v>0</v>
      </c>
      <c r="F30" s="35">
        <v>0</v>
      </c>
      <c r="G30" s="35">
        <v>0</v>
      </c>
      <c r="H30" s="35">
        <v>0</v>
      </c>
      <c r="I30" s="35">
        <v>1000000</v>
      </c>
      <c r="J30" s="35">
        <v>423</v>
      </c>
      <c r="K30" s="35">
        <v>567174655</v>
      </c>
      <c r="L30" s="35">
        <v>419730210</v>
      </c>
      <c r="M30" s="36">
        <f>Table1[[#This Row],[10188628360.0000]]/$O$9</f>
        <v>7.949394475661348E-4</v>
      </c>
    </row>
    <row r="31" spans="1:13" ht="23.1" customHeight="1" x14ac:dyDescent="0.4">
      <c r="A31" s="34" t="s">
        <v>148</v>
      </c>
      <c r="B31" s="35">
        <v>25000000</v>
      </c>
      <c r="C31" s="35">
        <v>15477557896</v>
      </c>
      <c r="D31" s="35">
        <v>12080887250</v>
      </c>
      <c r="E31" s="35">
        <v>0</v>
      </c>
      <c r="F31" s="35">
        <v>0</v>
      </c>
      <c r="G31" s="35">
        <v>0</v>
      </c>
      <c r="H31" s="35">
        <v>0</v>
      </c>
      <c r="I31" s="35">
        <v>25000000</v>
      </c>
      <c r="J31" s="35">
        <v>487</v>
      </c>
      <c r="K31" s="35">
        <v>15477557896</v>
      </c>
      <c r="L31" s="35">
        <v>12080887250</v>
      </c>
      <c r="M31" s="36">
        <f>Table1[[#This Row],[10188628360.0000]]/$O$9</f>
        <v>2.288034934779596E-2</v>
      </c>
    </row>
    <row r="32" spans="1:13" ht="23.1" customHeight="1" x14ac:dyDescent="0.4">
      <c r="A32" s="34" t="s">
        <v>150</v>
      </c>
      <c r="B32" s="35">
        <v>1786111</v>
      </c>
      <c r="C32" s="35">
        <v>3905258599</v>
      </c>
      <c r="D32" s="35">
        <v>3078226835</v>
      </c>
      <c r="E32" s="35">
        <v>0</v>
      </c>
      <c r="F32" s="35">
        <v>0</v>
      </c>
      <c r="G32" s="35">
        <v>0</v>
      </c>
      <c r="H32" s="35">
        <v>0</v>
      </c>
      <c r="I32" s="35">
        <v>1786111</v>
      </c>
      <c r="J32" s="35">
        <v>1736.8499998040434</v>
      </c>
      <c r="K32" s="35">
        <v>3905258599</v>
      </c>
      <c r="L32" s="35">
        <v>3078226835</v>
      </c>
      <c r="M32" s="36">
        <f>Table1[[#This Row],[10188628360.0000]]/$O$9</f>
        <v>5.8299447630852002E-3</v>
      </c>
    </row>
    <row r="33" spans="1:13" ht="23.1" customHeight="1" x14ac:dyDescent="0.4">
      <c r="A33" s="34" t="s">
        <v>252</v>
      </c>
      <c r="B33" s="35">
        <v>21475</v>
      </c>
      <c r="C33" s="35">
        <v>29524356</v>
      </c>
      <c r="D33" s="35">
        <v>19195506</v>
      </c>
      <c r="E33" s="35">
        <v>0</v>
      </c>
      <c r="F33" s="35">
        <v>0</v>
      </c>
      <c r="G33" s="35">
        <v>0</v>
      </c>
      <c r="H33" s="35">
        <v>0</v>
      </c>
      <c r="I33" s="35">
        <v>21475</v>
      </c>
      <c r="J33" s="35">
        <v>900.81681024447028</v>
      </c>
      <c r="K33" s="35">
        <v>29524356</v>
      </c>
      <c r="L33" s="35">
        <v>19195506</v>
      </c>
      <c r="M33" s="36">
        <f>Table1[[#This Row],[10188628360.0000]]/$O$9</f>
        <v>3.6354936032344263E-5</v>
      </c>
    </row>
    <row r="34" spans="1:13" ht="23.1" customHeight="1" x14ac:dyDescent="0.4">
      <c r="A34" s="34" t="s">
        <v>215</v>
      </c>
      <c r="B34" s="35">
        <v>2000000</v>
      </c>
      <c r="C34" s="35">
        <v>15901933759</v>
      </c>
      <c r="D34" s="35">
        <v>15916010800</v>
      </c>
      <c r="E34" s="35">
        <v>0</v>
      </c>
      <c r="F34" s="35">
        <v>0</v>
      </c>
      <c r="G34" s="35">
        <v>0</v>
      </c>
      <c r="H34" s="35">
        <v>0</v>
      </c>
      <c r="I34" s="35">
        <v>2000000</v>
      </c>
      <c r="J34" s="35">
        <v>8020</v>
      </c>
      <c r="K34" s="35">
        <v>15901933759</v>
      </c>
      <c r="L34" s="35">
        <v>15916010800</v>
      </c>
      <c r="M34" s="36">
        <f>Table1[[#This Row],[10188628360.0000]]/$O$9</f>
        <v>3.0143803165391968E-2</v>
      </c>
    </row>
    <row r="35" spans="1:13" ht="23.1" customHeight="1" x14ac:dyDescent="0.4">
      <c r="A35" s="34" t="s">
        <v>114</v>
      </c>
      <c r="B35" s="35">
        <v>4400000</v>
      </c>
      <c r="C35" s="35">
        <v>9253686219</v>
      </c>
      <c r="D35" s="35">
        <v>9661931445</v>
      </c>
      <c r="E35" s="35">
        <v>0</v>
      </c>
      <c r="F35" s="35">
        <v>0</v>
      </c>
      <c r="G35" s="35">
        <v>0</v>
      </c>
      <c r="H35" s="35">
        <v>0</v>
      </c>
      <c r="I35" s="35">
        <v>4400000</v>
      </c>
      <c r="J35" s="35">
        <v>2213</v>
      </c>
      <c r="K35" s="35">
        <v>9253686219</v>
      </c>
      <c r="L35" s="35">
        <v>9661931445</v>
      </c>
      <c r="M35" s="36">
        <f>Table1[[#This Row],[10188628360.0000]]/$O$9</f>
        <v>1.8299017469603072E-2</v>
      </c>
    </row>
    <row r="36" spans="1:13" ht="23.1" customHeight="1" x14ac:dyDescent="0.4">
      <c r="A36" s="129" t="s">
        <v>50</v>
      </c>
      <c r="B36" s="35">
        <v>847407</v>
      </c>
      <c r="C36" s="35">
        <v>9022530129</v>
      </c>
      <c r="D36" s="35">
        <v>8347592338</v>
      </c>
      <c r="E36" s="35">
        <v>0</v>
      </c>
      <c r="F36" s="35">
        <v>0</v>
      </c>
      <c r="G36" s="35">
        <v>0</v>
      </c>
      <c r="H36" s="35">
        <v>0</v>
      </c>
      <c r="I36" s="35">
        <v>847407</v>
      </c>
      <c r="J36" s="35">
        <v>9927.4869112480792</v>
      </c>
      <c r="K36" s="35">
        <v>9022530129</v>
      </c>
      <c r="L36" s="35">
        <v>8347592338</v>
      </c>
      <c r="M36" s="36">
        <f>Table1[[#This Row],[10188628360.0000]]/$O$9</f>
        <v>1.5809751796700598E-2</v>
      </c>
    </row>
    <row r="37" spans="1:13" ht="23.1" customHeight="1" x14ac:dyDescent="0.4">
      <c r="A37" s="34" t="s">
        <v>253</v>
      </c>
      <c r="B37" s="35">
        <v>284444</v>
      </c>
      <c r="C37" s="35">
        <v>2744094306</v>
      </c>
      <c r="D37" s="35">
        <v>2519740759</v>
      </c>
      <c r="E37" s="35">
        <v>0</v>
      </c>
      <c r="F37" s="35">
        <v>0</v>
      </c>
      <c r="G37" s="35">
        <v>0</v>
      </c>
      <c r="H37" s="35">
        <v>0</v>
      </c>
      <c r="I37" s="35">
        <v>284444</v>
      </c>
      <c r="J37" s="35">
        <v>8927.4869113076747</v>
      </c>
      <c r="K37" s="35">
        <v>2744094306</v>
      </c>
      <c r="L37" s="35">
        <v>2519740759</v>
      </c>
      <c r="M37" s="36">
        <f>Table1[[#This Row],[10188628360.0000]]/$O$9</f>
        <v>4.7722114807255194E-3</v>
      </c>
    </row>
    <row r="38" spans="1:13" ht="23.1" customHeight="1" x14ac:dyDescent="0.4">
      <c r="A38" s="34" t="s">
        <v>152</v>
      </c>
      <c r="B38" s="35">
        <v>600000</v>
      </c>
      <c r="C38" s="35">
        <v>7234276889</v>
      </c>
      <c r="D38" s="35">
        <v>6370373400</v>
      </c>
      <c r="E38" s="35">
        <v>0</v>
      </c>
      <c r="F38" s="35">
        <v>0</v>
      </c>
      <c r="G38" s="35">
        <v>0</v>
      </c>
      <c r="H38" s="35">
        <v>0</v>
      </c>
      <c r="I38" s="35">
        <v>600000</v>
      </c>
      <c r="J38" s="35">
        <v>10700</v>
      </c>
      <c r="K38" s="35">
        <v>7234276889</v>
      </c>
      <c r="L38" s="35">
        <v>6370373400</v>
      </c>
      <c r="M38" s="36">
        <f>Table1[[#This Row],[10188628360.0000]]/$O$9</f>
        <v>1.2065038424053393E-2</v>
      </c>
    </row>
    <row r="39" spans="1:13" ht="23.1" customHeight="1" x14ac:dyDescent="0.4">
      <c r="A39" s="34" t="s">
        <v>118</v>
      </c>
      <c r="B39" s="35">
        <v>9198000</v>
      </c>
      <c r="C39" s="35">
        <v>15617023999</v>
      </c>
      <c r="D39" s="35">
        <v>14958988218</v>
      </c>
      <c r="E39" s="35">
        <v>0</v>
      </c>
      <c r="F39" s="35">
        <v>0</v>
      </c>
      <c r="G39" s="35">
        <v>0</v>
      </c>
      <c r="H39" s="35">
        <v>0</v>
      </c>
      <c r="I39" s="35">
        <v>9198000</v>
      </c>
      <c r="J39" s="35">
        <v>1639</v>
      </c>
      <c r="K39" s="35">
        <v>15617023999</v>
      </c>
      <c r="L39" s="35">
        <v>14958988218</v>
      </c>
      <c r="M39" s="36">
        <f>Table1[[#This Row],[10188628360.0000]]/$O$9</f>
        <v>2.8331269817736586E-2</v>
      </c>
    </row>
    <row r="40" spans="1:13" ht="23.1" customHeight="1" x14ac:dyDescent="0.4">
      <c r="A40" s="34" t="s">
        <v>107</v>
      </c>
      <c r="B40" s="35">
        <v>20000</v>
      </c>
      <c r="C40" s="35">
        <v>2067054080</v>
      </c>
      <c r="D40" s="35">
        <v>2091705160</v>
      </c>
      <c r="E40" s="35">
        <v>0</v>
      </c>
      <c r="F40" s="35">
        <v>0</v>
      </c>
      <c r="G40" s="35">
        <v>0</v>
      </c>
      <c r="H40" s="35">
        <v>0</v>
      </c>
      <c r="I40" s="35">
        <v>20000</v>
      </c>
      <c r="J40" s="35">
        <v>105400</v>
      </c>
      <c r="K40" s="35">
        <v>2067054080</v>
      </c>
      <c r="L40" s="35">
        <v>2091705160</v>
      </c>
      <c r="M40" s="36">
        <f>Table1[[#This Row],[10188628360.0000]]/$O$9</f>
        <v>3.9615422115116122E-3</v>
      </c>
    </row>
    <row r="41" spans="1:13" ht="23.1" customHeight="1" x14ac:dyDescent="0.4">
      <c r="A41" s="34" t="s">
        <v>52</v>
      </c>
      <c r="B41" s="35">
        <v>561046</v>
      </c>
      <c r="C41" s="35">
        <v>7432468660</v>
      </c>
      <c r="D41" s="35">
        <v>5731320336</v>
      </c>
      <c r="E41" s="35">
        <v>0</v>
      </c>
      <c r="F41" s="35">
        <v>0</v>
      </c>
      <c r="G41" s="35">
        <v>0</v>
      </c>
      <c r="H41" s="35">
        <v>0</v>
      </c>
      <c r="I41" s="35">
        <v>561046</v>
      </c>
      <c r="J41" s="35">
        <v>10295</v>
      </c>
      <c r="K41" s="35">
        <v>7432468660</v>
      </c>
      <c r="L41" s="35">
        <v>5731320336</v>
      </c>
      <c r="M41" s="36">
        <f>Table1[[#This Row],[10188628360.0000]]/$O$9</f>
        <v>1.0854716942400677E-2</v>
      </c>
    </row>
    <row r="42" spans="1:13" ht="23.1" customHeight="1" x14ac:dyDescent="0.4">
      <c r="A42" s="34" t="s">
        <v>216</v>
      </c>
      <c r="B42" s="35">
        <v>480000</v>
      </c>
      <c r="C42" s="35">
        <v>19742594267</v>
      </c>
      <c r="D42" s="35">
        <v>18737232865</v>
      </c>
      <c r="E42" s="35">
        <v>0</v>
      </c>
      <c r="F42" s="35">
        <v>0</v>
      </c>
      <c r="G42" s="35">
        <v>0</v>
      </c>
      <c r="H42" s="35">
        <v>0</v>
      </c>
      <c r="I42" s="35">
        <v>480000</v>
      </c>
      <c r="J42" s="35">
        <v>31340</v>
      </c>
      <c r="K42" s="35">
        <v>19742594267</v>
      </c>
      <c r="L42" s="35">
        <v>18737232865</v>
      </c>
      <c r="M42" s="36">
        <f>Table1[[#This Row],[10188628360.0000]]/$O$9</f>
        <v>3.5486999000193781E-2</v>
      </c>
    </row>
    <row r="43" spans="1:13" ht="23.1" customHeight="1" x14ac:dyDescent="0.4">
      <c r="A43" s="34" t="s">
        <v>57</v>
      </c>
      <c r="B43" s="35">
        <v>1450000</v>
      </c>
      <c r="C43" s="35">
        <v>26730333596</v>
      </c>
      <c r="D43" s="35">
        <v>21955958290</v>
      </c>
      <c r="E43" s="35">
        <v>0</v>
      </c>
      <c r="F43" s="35">
        <v>0</v>
      </c>
      <c r="G43" s="35">
        <v>0</v>
      </c>
      <c r="H43" s="35">
        <v>0</v>
      </c>
      <c r="I43" s="35">
        <v>1450000</v>
      </c>
      <c r="J43" s="35">
        <v>15260</v>
      </c>
      <c r="K43" s="35">
        <v>26730333596</v>
      </c>
      <c r="L43" s="35">
        <v>21955958290</v>
      </c>
      <c r="M43" s="36">
        <f>Table1[[#This Row],[10188628360.0000]]/$O$9</f>
        <v>4.158303819455287E-2</v>
      </c>
    </row>
    <row r="44" spans="1:13" ht="23.1" customHeight="1" x14ac:dyDescent="0.4">
      <c r="A44" s="34" t="s">
        <v>110</v>
      </c>
      <c r="B44" s="35">
        <v>1099767</v>
      </c>
      <c r="C44" s="35">
        <v>10790090055</v>
      </c>
      <c r="D44" s="35">
        <v>9308497286</v>
      </c>
      <c r="E44" s="35">
        <v>0</v>
      </c>
      <c r="F44" s="35">
        <v>0</v>
      </c>
      <c r="G44" s="35">
        <v>0</v>
      </c>
      <c r="H44" s="35">
        <v>0</v>
      </c>
      <c r="I44" s="35">
        <v>1099767</v>
      </c>
      <c r="J44" s="35">
        <v>8530</v>
      </c>
      <c r="K44" s="35">
        <v>10790090055</v>
      </c>
      <c r="L44" s="35">
        <v>9308497286</v>
      </c>
      <c r="M44" s="36">
        <f>Table1[[#This Row],[10188628360.0000]]/$O$9</f>
        <v>1.7629638072045622E-2</v>
      </c>
    </row>
    <row r="45" spans="1:13" ht="23.1" customHeight="1" x14ac:dyDescent="0.4">
      <c r="A45" s="34" t="s">
        <v>154</v>
      </c>
      <c r="B45" s="35">
        <v>800000</v>
      </c>
      <c r="C45" s="35">
        <v>17961547483</v>
      </c>
      <c r="D45" s="35">
        <v>15042813200</v>
      </c>
      <c r="E45" s="35">
        <v>0</v>
      </c>
      <c r="F45" s="35">
        <v>0</v>
      </c>
      <c r="G45" s="35">
        <v>0</v>
      </c>
      <c r="H45" s="35">
        <v>0</v>
      </c>
      <c r="I45" s="35">
        <v>800000</v>
      </c>
      <c r="J45" s="35">
        <v>18950</v>
      </c>
      <c r="K45" s="35">
        <v>17961547483</v>
      </c>
      <c r="L45" s="35">
        <v>15042813200</v>
      </c>
      <c r="M45" s="36">
        <f>Table1[[#This Row],[10188628360.0000]]/$O$9</f>
        <v>2.8490028428138543E-2</v>
      </c>
    </row>
    <row r="46" spans="1:13" ht="23.1" customHeight="1" thickBot="1" x14ac:dyDescent="0.45">
      <c r="A46" s="129" t="s">
        <v>59</v>
      </c>
      <c r="B46" s="35">
        <v>133750</v>
      </c>
      <c r="C46" s="35">
        <v>3741491417</v>
      </c>
      <c r="D46" s="35">
        <v>5023304861</v>
      </c>
      <c r="E46" s="35">
        <v>267500</v>
      </c>
      <c r="F46" s="35">
        <v>0</v>
      </c>
      <c r="G46" s="35">
        <v>0</v>
      </c>
      <c r="H46" s="35">
        <v>0</v>
      </c>
      <c r="I46" s="35">
        <v>401250</v>
      </c>
      <c r="J46" s="35">
        <v>12616.666666666666</v>
      </c>
      <c r="K46" s="35">
        <v>3741491417</v>
      </c>
      <c r="L46" s="35">
        <v>5023304861</v>
      </c>
      <c r="M46" s="36">
        <f>Table1[[#This Row],[10188628360.0000]]/$O$9</f>
        <v>9.5137855127454835E-3</v>
      </c>
    </row>
    <row r="47" spans="1:13" ht="23.1" customHeight="1" thickBot="1" x14ac:dyDescent="0.45">
      <c r="A47" s="37" t="s">
        <v>60</v>
      </c>
      <c r="B47" s="38"/>
      <c r="C47" s="38">
        <f>SUBTOTAL(109,C10:C46)</f>
        <v>547358122556</v>
      </c>
      <c r="D47" s="38">
        <f>SUBTOTAL(109,D10:D46)</f>
        <v>472497902491</v>
      </c>
      <c r="E47" s="38"/>
      <c r="F47" s="38">
        <f>SUBTOTAL(109,F10:F46)</f>
        <v>0</v>
      </c>
      <c r="G47" s="38"/>
      <c r="H47" s="38">
        <f>SUBTOTAL(109,H10:H46)</f>
        <v>0</v>
      </c>
      <c r="I47" s="38"/>
      <c r="J47" s="38">
        <f>SUBTOTAL(109,J10:J46)</f>
        <v>358124.22990838194</v>
      </c>
      <c r="K47" s="38">
        <f>SUBTOTAL(109,K10:K46)</f>
        <v>547328598200</v>
      </c>
      <c r="L47" s="38">
        <f>SUBTOTAL(109,L10:L46)</f>
        <v>472497902491</v>
      </c>
      <c r="M47" s="119">
        <f>SUBTOTAL(109,M10:M46)</f>
        <v>0.89487773963745187</v>
      </c>
    </row>
    <row r="48" spans="1:13" ht="23.1" customHeight="1" thickTop="1" x14ac:dyDescent="0.4">
      <c r="A48" s="12" t="s">
        <v>61</v>
      </c>
      <c r="B48" s="13"/>
      <c r="C48" s="14"/>
      <c r="D48" s="14"/>
      <c r="E48" s="14"/>
      <c r="F48" s="14"/>
      <c r="G48" s="14"/>
      <c r="H48" s="14"/>
      <c r="I48" s="13"/>
      <c r="J48" s="14"/>
      <c r="K48" s="14"/>
      <c r="L48" s="14"/>
      <c r="M48" s="14"/>
    </row>
    <row r="49" spans="5:12" ht="18" x14ac:dyDescent="0.45">
      <c r="E49" s="41"/>
      <c r="L49" s="76"/>
    </row>
    <row r="50" spans="5:12" x14ac:dyDescent="0.4">
      <c r="L50" s="41"/>
    </row>
    <row r="51" spans="5:12" x14ac:dyDescent="0.4">
      <c r="E51" s="41"/>
    </row>
    <row r="52" spans="5:12" ht="18" x14ac:dyDescent="0.45">
      <c r="E52" s="76"/>
    </row>
    <row r="53" spans="5:12" x14ac:dyDescent="0.4">
      <c r="E53" s="41"/>
    </row>
    <row r="54" spans="5:12" x14ac:dyDescent="0.4">
      <c r="E54" s="41"/>
    </row>
  </sheetData>
  <mergeCells count="20">
    <mergeCell ref="A1:M1"/>
    <mergeCell ref="A2:M2"/>
    <mergeCell ref="A3:M3"/>
    <mergeCell ref="A8:A9"/>
    <mergeCell ref="E8:F8"/>
    <mergeCell ref="G8:H8"/>
    <mergeCell ref="K8:K9"/>
    <mergeCell ref="I8:I9"/>
    <mergeCell ref="C8:C9"/>
    <mergeCell ref="B8:B9"/>
    <mergeCell ref="A5:M5"/>
    <mergeCell ref="A4:M4"/>
    <mergeCell ref="E7:H7"/>
    <mergeCell ref="B7:D7"/>
    <mergeCell ref="I7:M7"/>
    <mergeCell ref="D8:D9"/>
    <mergeCell ref="A6:M6"/>
    <mergeCell ref="L8:L9"/>
    <mergeCell ref="J8:J9"/>
    <mergeCell ref="M8:M9"/>
  </mergeCells>
  <pageMargins left="0.7" right="0.7" top="0.75" bottom="0.75" header="0.3" footer="0.3"/>
  <pageSetup paperSize="9" scale="47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22A37-E453-457F-8A3B-8A06930A156E}">
  <dimension ref="A1:N53"/>
  <sheetViews>
    <sheetView rightToLeft="1" view="pageBreakPreview" zoomScale="115" zoomScaleNormal="85" zoomScaleSheetLayoutView="115" workbookViewId="0">
      <selection activeCell="J11" sqref="J11"/>
    </sheetView>
  </sheetViews>
  <sheetFormatPr defaultColWidth="9.140625" defaultRowHeight="15.75" x14ac:dyDescent="0.4"/>
  <cols>
    <col min="1" max="1" width="37.28515625" style="4" bestFit="1" customWidth="1"/>
    <col min="2" max="2" width="7.85546875" style="4" bestFit="1" customWidth="1"/>
    <col min="3" max="3" width="12" style="4" customWidth="1"/>
    <col min="4" max="4" width="12.140625" style="4" bestFit="1" customWidth="1"/>
    <col min="5" max="5" width="10.5703125" style="4" bestFit="1" customWidth="1"/>
    <col min="6" max="6" width="9.42578125" style="4" bestFit="1" customWidth="1"/>
    <col min="7" max="7" width="10.140625" style="4" bestFit="1" customWidth="1"/>
    <col min="8" max="8" width="7.85546875" style="4" bestFit="1" customWidth="1"/>
    <col min="9" max="9" width="12" style="4" bestFit="1" customWidth="1"/>
    <col min="10" max="10" width="12.140625" style="4" bestFit="1" customWidth="1"/>
    <col min="11" max="11" width="9.140625" style="4" hidden="1" customWidth="1"/>
    <col min="12" max="12" width="10.5703125" style="4" bestFit="1" customWidth="1"/>
    <col min="13" max="13" width="9.42578125" style="4" bestFit="1" customWidth="1"/>
    <col min="14" max="14" width="10.140625" style="4" bestFit="1" customWidth="1"/>
    <col min="15" max="16384" width="9.140625" style="4"/>
  </cols>
  <sheetData>
    <row r="1" spans="1:14" ht="21" x14ac:dyDescent="0.55000000000000004">
      <c r="A1" s="149" t="s">
        <v>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14" ht="21" x14ac:dyDescent="0.55000000000000004">
      <c r="A2" s="149" t="s">
        <v>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</row>
    <row r="3" spans="1:14" ht="21" x14ac:dyDescent="0.55000000000000004">
      <c r="A3" s="149" t="s">
        <v>271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</row>
    <row r="4" spans="1:14" ht="21" x14ac:dyDescent="0.55000000000000004">
      <c r="A4" s="105"/>
      <c r="B4" s="105"/>
      <c r="C4" s="105"/>
      <c r="D4" s="105"/>
      <c r="E4" s="105"/>
      <c r="F4" s="105"/>
      <c r="G4" s="105"/>
      <c r="H4" s="105"/>
      <c r="I4" s="105"/>
    </row>
    <row r="5" spans="1:14" ht="21.75" x14ac:dyDescent="0.4">
      <c r="A5" s="148" t="s">
        <v>200</v>
      </c>
      <c r="B5" s="148"/>
      <c r="C5" s="148"/>
      <c r="D5" s="148"/>
      <c r="E5" s="148"/>
      <c r="F5" s="148"/>
      <c r="G5" s="148"/>
      <c r="H5" s="141"/>
      <c r="I5" s="141"/>
    </row>
    <row r="6" spans="1:14" ht="16.5" thickBot="1" x14ac:dyDescent="0.45">
      <c r="A6" s="106"/>
      <c r="B6" s="107"/>
      <c r="C6" s="107"/>
      <c r="D6" s="107"/>
      <c r="E6" s="107"/>
      <c r="F6" s="107"/>
      <c r="G6" s="107"/>
      <c r="H6" s="107"/>
    </row>
    <row r="7" spans="1:14" s="8" customFormat="1" ht="18.600000000000001" customHeight="1" thickBot="1" x14ac:dyDescent="0.5">
      <c r="A7" s="116"/>
      <c r="B7" s="147" t="s">
        <v>250</v>
      </c>
      <c r="C7" s="147"/>
      <c r="D7" s="147"/>
      <c r="E7" s="147"/>
      <c r="F7" s="147"/>
      <c r="G7" s="147"/>
      <c r="H7" s="147" t="s">
        <v>270</v>
      </c>
      <c r="I7" s="147"/>
      <c r="J7" s="147"/>
      <c r="K7" s="147"/>
      <c r="L7" s="147"/>
      <c r="M7" s="147"/>
      <c r="N7" s="147"/>
    </row>
    <row r="8" spans="1:14" s="8" customFormat="1" ht="16.5" thickBot="1" x14ac:dyDescent="0.5">
      <c r="A8" s="117" t="s">
        <v>62</v>
      </c>
      <c r="B8" s="117" t="s">
        <v>201</v>
      </c>
      <c r="C8" s="118" t="s">
        <v>202</v>
      </c>
      <c r="D8" s="117" t="s">
        <v>203</v>
      </c>
      <c r="E8" s="117" t="s">
        <v>204</v>
      </c>
      <c r="F8" s="117" t="s">
        <v>198</v>
      </c>
      <c r="G8" s="117" t="s">
        <v>199</v>
      </c>
      <c r="H8" s="117" t="s">
        <v>201</v>
      </c>
      <c r="I8" s="117" t="s">
        <v>202</v>
      </c>
      <c r="J8" s="117" t="s">
        <v>203</v>
      </c>
      <c r="K8" s="116"/>
      <c r="L8" s="117" t="s">
        <v>204</v>
      </c>
      <c r="M8" s="117" t="s">
        <v>198</v>
      </c>
      <c r="N8" s="117" t="s">
        <v>199</v>
      </c>
    </row>
    <row r="9" spans="1:14" ht="19.5" x14ac:dyDescent="0.4">
      <c r="A9" s="108" t="s">
        <v>217</v>
      </c>
      <c r="B9" s="109" t="s">
        <v>207</v>
      </c>
      <c r="C9" s="109" t="s">
        <v>205</v>
      </c>
      <c r="D9" s="109"/>
      <c r="E9" s="109">
        <v>13271526</v>
      </c>
      <c r="F9" s="109">
        <v>1300</v>
      </c>
      <c r="G9" s="104" t="s">
        <v>209</v>
      </c>
      <c r="H9" s="109" t="s">
        <v>207</v>
      </c>
      <c r="I9" s="109" t="s">
        <v>205</v>
      </c>
      <c r="J9" s="109"/>
      <c r="K9" s="109"/>
      <c r="L9" s="109">
        <v>13271526</v>
      </c>
      <c r="M9" s="109">
        <v>1300</v>
      </c>
      <c r="N9" s="109" t="s">
        <v>209</v>
      </c>
    </row>
    <row r="10" spans="1:14" ht="19.5" x14ac:dyDescent="0.4">
      <c r="A10" s="108" t="s">
        <v>183</v>
      </c>
      <c r="B10" s="109" t="s">
        <v>208</v>
      </c>
      <c r="C10" s="109" t="s">
        <v>206</v>
      </c>
      <c r="D10" s="109"/>
      <c r="E10" s="109">
        <v>15642000</v>
      </c>
      <c r="F10" s="109">
        <v>1500</v>
      </c>
      <c r="G10" s="104" t="s">
        <v>209</v>
      </c>
      <c r="H10" s="109" t="s">
        <v>208</v>
      </c>
      <c r="I10" s="109" t="s">
        <v>206</v>
      </c>
      <c r="J10" s="109"/>
      <c r="K10" s="109"/>
      <c r="L10" s="109">
        <v>15642000</v>
      </c>
      <c r="M10" s="109">
        <v>1500</v>
      </c>
      <c r="N10" s="109" t="s">
        <v>209</v>
      </c>
    </row>
    <row r="11" spans="1:14" ht="19.5" x14ac:dyDescent="0.4">
      <c r="A11" s="110" t="s">
        <v>158</v>
      </c>
      <c r="B11" s="111" t="s">
        <v>208</v>
      </c>
      <c r="C11" s="111" t="s">
        <v>206</v>
      </c>
      <c r="D11" s="111"/>
      <c r="E11" s="111">
        <v>3000000</v>
      </c>
      <c r="F11" s="111">
        <v>550</v>
      </c>
      <c r="G11" s="112" t="s">
        <v>210</v>
      </c>
      <c r="H11" s="111" t="s">
        <v>208</v>
      </c>
      <c r="I11" s="111" t="s">
        <v>206</v>
      </c>
      <c r="J11" s="111"/>
      <c r="K11" s="111"/>
      <c r="L11" s="111">
        <v>3000000</v>
      </c>
      <c r="M11" s="111">
        <v>550</v>
      </c>
      <c r="N11" s="111" t="s">
        <v>210</v>
      </c>
    </row>
    <row r="12" spans="1:14" ht="19.5" x14ac:dyDescent="0.4">
      <c r="A12" s="108" t="s">
        <v>218</v>
      </c>
      <c r="B12" s="109" t="s">
        <v>208</v>
      </c>
      <c r="C12" s="109" t="s">
        <v>206</v>
      </c>
      <c r="D12" s="109"/>
      <c r="E12" s="109">
        <v>34000000</v>
      </c>
      <c r="F12" s="109">
        <v>1410</v>
      </c>
      <c r="G12" s="104" t="s">
        <v>261</v>
      </c>
      <c r="H12" s="109" t="s">
        <v>208</v>
      </c>
      <c r="I12" s="109" t="s">
        <v>206</v>
      </c>
      <c r="J12" s="109"/>
      <c r="K12" s="109"/>
      <c r="L12" s="109">
        <v>34000000</v>
      </c>
      <c r="M12" s="109">
        <v>1410</v>
      </c>
      <c r="N12" s="109" t="s">
        <v>261</v>
      </c>
    </row>
    <row r="13" spans="1:14" ht="19.5" x14ac:dyDescent="0.4">
      <c r="A13" s="110" t="s">
        <v>219</v>
      </c>
      <c r="B13" s="111" t="s">
        <v>207</v>
      </c>
      <c r="C13" s="111" t="s">
        <v>205</v>
      </c>
      <c r="D13" s="111"/>
      <c r="E13" s="111">
        <v>34000000</v>
      </c>
      <c r="F13" s="111">
        <v>1510</v>
      </c>
      <c r="G13" s="112" t="s">
        <v>261</v>
      </c>
      <c r="H13" s="111" t="s">
        <v>207</v>
      </c>
      <c r="I13" s="111" t="s">
        <v>205</v>
      </c>
      <c r="J13" s="111"/>
      <c r="K13" s="111"/>
      <c r="L13" s="111">
        <v>34000000</v>
      </c>
      <c r="M13" s="111">
        <v>1510</v>
      </c>
      <c r="N13" s="111" t="s">
        <v>261</v>
      </c>
    </row>
    <row r="14" spans="1:14" ht="19.5" x14ac:dyDescent="0.4">
      <c r="A14" s="108" t="s">
        <v>220</v>
      </c>
      <c r="B14" s="109" t="s">
        <v>207</v>
      </c>
      <c r="C14" s="109" t="s">
        <v>205</v>
      </c>
      <c r="D14" s="109"/>
      <c r="E14" s="109">
        <v>3000000</v>
      </c>
      <c r="F14" s="109">
        <v>1610</v>
      </c>
      <c r="G14" s="104" t="s">
        <v>261</v>
      </c>
      <c r="H14" s="109" t="s">
        <v>207</v>
      </c>
      <c r="I14" s="109" t="s">
        <v>205</v>
      </c>
      <c r="J14" s="109"/>
      <c r="K14" s="109"/>
      <c r="L14" s="109">
        <v>3000000</v>
      </c>
      <c r="M14" s="109">
        <v>1610</v>
      </c>
      <c r="N14" s="109" t="s">
        <v>261</v>
      </c>
    </row>
    <row r="15" spans="1:14" ht="19.5" x14ac:dyDescent="0.4">
      <c r="A15" s="110" t="s">
        <v>221</v>
      </c>
      <c r="B15" s="111" t="s">
        <v>263</v>
      </c>
      <c r="C15" s="111" t="s">
        <v>263</v>
      </c>
      <c r="D15" s="111"/>
      <c r="E15" s="111" t="s">
        <v>263</v>
      </c>
      <c r="F15" s="111" t="s">
        <v>263</v>
      </c>
      <c r="G15" s="112" t="s">
        <v>263</v>
      </c>
      <c r="H15" s="111" t="s">
        <v>263</v>
      </c>
      <c r="I15" s="111" t="s">
        <v>263</v>
      </c>
      <c r="J15" s="111"/>
      <c r="K15" s="111"/>
      <c r="L15" s="111" t="s">
        <v>263</v>
      </c>
      <c r="M15" s="111" t="s">
        <v>263</v>
      </c>
      <c r="N15" s="111" t="s">
        <v>263</v>
      </c>
    </row>
    <row r="16" spans="1:14" ht="19.5" x14ac:dyDescent="0.4">
      <c r="A16" s="108" t="s">
        <v>193</v>
      </c>
      <c r="B16" s="109" t="s">
        <v>263</v>
      </c>
      <c r="C16" s="109" t="s">
        <v>263</v>
      </c>
      <c r="D16" s="109"/>
      <c r="E16" s="109" t="s">
        <v>263</v>
      </c>
      <c r="F16" s="109" t="s">
        <v>263</v>
      </c>
      <c r="G16" s="109" t="s">
        <v>263</v>
      </c>
      <c r="H16" s="109" t="s">
        <v>263</v>
      </c>
      <c r="I16" s="109" t="s">
        <v>263</v>
      </c>
      <c r="J16" s="109"/>
      <c r="K16" s="109"/>
      <c r="L16" s="109" t="s">
        <v>263</v>
      </c>
      <c r="M16" s="109" t="s">
        <v>263</v>
      </c>
      <c r="N16" s="109" t="s">
        <v>263</v>
      </c>
    </row>
    <row r="17" spans="1:14" ht="19.5" x14ac:dyDescent="0.4">
      <c r="A17" s="110" t="s">
        <v>254</v>
      </c>
      <c r="B17" s="111" t="s">
        <v>208</v>
      </c>
      <c r="C17" s="111" t="s">
        <v>206</v>
      </c>
      <c r="D17" s="111"/>
      <c r="E17" s="111">
        <v>32457150</v>
      </c>
      <c r="F17" s="111">
        <v>1100</v>
      </c>
      <c r="G17" s="111" t="s">
        <v>261</v>
      </c>
      <c r="H17" s="111" t="s">
        <v>208</v>
      </c>
      <c r="I17" s="111" t="s">
        <v>206</v>
      </c>
      <c r="J17" s="111"/>
      <c r="K17" s="111"/>
      <c r="L17" s="111">
        <v>32457150</v>
      </c>
      <c r="M17" s="111">
        <v>1100</v>
      </c>
      <c r="N17" s="111" t="s">
        <v>261</v>
      </c>
    </row>
    <row r="18" spans="1:14" ht="19.5" x14ac:dyDescent="0.4">
      <c r="A18" s="108" t="s">
        <v>255</v>
      </c>
      <c r="B18" s="109" t="s">
        <v>207</v>
      </c>
      <c r="C18" s="109" t="s">
        <v>205</v>
      </c>
      <c r="D18" s="109"/>
      <c r="E18" s="109">
        <v>32421600</v>
      </c>
      <c r="F18" s="109">
        <v>1200</v>
      </c>
      <c r="G18" s="109" t="s">
        <v>261</v>
      </c>
      <c r="H18" s="109" t="s">
        <v>207</v>
      </c>
      <c r="I18" s="109" t="s">
        <v>205</v>
      </c>
      <c r="J18" s="109"/>
      <c r="K18" s="109"/>
      <c r="L18" s="109">
        <v>32421600</v>
      </c>
      <c r="M18" s="109">
        <v>1200</v>
      </c>
      <c r="N18" s="109" t="s">
        <v>261</v>
      </c>
    </row>
    <row r="19" spans="1:14" ht="19.5" x14ac:dyDescent="0.4">
      <c r="A19" s="110" t="s">
        <v>256</v>
      </c>
      <c r="B19" s="111" t="s">
        <v>263</v>
      </c>
      <c r="C19" s="111" t="s">
        <v>263</v>
      </c>
      <c r="D19" s="111"/>
      <c r="E19" s="111" t="s">
        <v>263</v>
      </c>
      <c r="F19" s="111" t="s">
        <v>263</v>
      </c>
      <c r="G19" s="111" t="s">
        <v>263</v>
      </c>
      <c r="H19" s="111" t="s">
        <v>263</v>
      </c>
      <c r="I19" s="111" t="s">
        <v>263</v>
      </c>
      <c r="J19" s="111"/>
      <c r="K19" s="111"/>
      <c r="L19" s="111" t="s">
        <v>263</v>
      </c>
      <c r="M19" s="111" t="s">
        <v>263</v>
      </c>
      <c r="N19" s="111" t="s">
        <v>263</v>
      </c>
    </row>
    <row r="20" spans="1:14" ht="19.5" x14ac:dyDescent="0.4">
      <c r="A20" s="108" t="s">
        <v>257</v>
      </c>
      <c r="B20" s="109" t="s">
        <v>263</v>
      </c>
      <c r="C20" s="109" t="s">
        <v>263</v>
      </c>
      <c r="D20" s="109"/>
      <c r="E20" s="109" t="s">
        <v>263</v>
      </c>
      <c r="F20" s="109" t="s">
        <v>263</v>
      </c>
      <c r="G20" s="109" t="s">
        <v>263</v>
      </c>
      <c r="H20" s="109" t="s">
        <v>263</v>
      </c>
      <c r="I20" s="109" t="s">
        <v>263</v>
      </c>
      <c r="J20" s="109"/>
      <c r="K20" s="109"/>
      <c r="L20" s="109" t="s">
        <v>263</v>
      </c>
      <c r="M20" s="109" t="s">
        <v>263</v>
      </c>
      <c r="N20" s="109" t="s">
        <v>263</v>
      </c>
    </row>
    <row r="21" spans="1:14" ht="19.5" x14ac:dyDescent="0.4">
      <c r="A21" s="110" t="s">
        <v>222</v>
      </c>
      <c r="B21" s="111" t="s">
        <v>263</v>
      </c>
      <c r="C21" s="111" t="s">
        <v>263</v>
      </c>
      <c r="D21" s="111"/>
      <c r="E21" s="111" t="s">
        <v>263</v>
      </c>
      <c r="F21" s="111" t="s">
        <v>263</v>
      </c>
      <c r="G21" s="111" t="s">
        <v>263</v>
      </c>
      <c r="H21" s="111" t="s">
        <v>263</v>
      </c>
      <c r="I21" s="111" t="s">
        <v>263</v>
      </c>
      <c r="J21" s="111"/>
      <c r="K21" s="111"/>
      <c r="L21" s="111" t="s">
        <v>263</v>
      </c>
      <c r="M21" s="111" t="s">
        <v>263</v>
      </c>
      <c r="N21" s="111" t="s">
        <v>263</v>
      </c>
    </row>
    <row r="22" spans="1:14" ht="19.5" x14ac:dyDescent="0.4">
      <c r="A22" s="108" t="s">
        <v>185</v>
      </c>
      <c r="B22" s="109" t="s">
        <v>263</v>
      </c>
      <c r="C22" s="109" t="s">
        <v>263</v>
      </c>
      <c r="D22" s="109"/>
      <c r="E22" s="109" t="s">
        <v>263</v>
      </c>
      <c r="F22" s="109" t="s">
        <v>263</v>
      </c>
      <c r="G22" s="109" t="s">
        <v>263</v>
      </c>
      <c r="H22" s="109" t="s">
        <v>263</v>
      </c>
      <c r="I22" s="109" t="s">
        <v>263</v>
      </c>
      <c r="J22" s="109"/>
      <c r="K22" s="109"/>
      <c r="L22" s="109" t="s">
        <v>263</v>
      </c>
      <c r="M22" s="109" t="s">
        <v>263</v>
      </c>
      <c r="N22" s="109" t="s">
        <v>263</v>
      </c>
    </row>
    <row r="23" spans="1:14" ht="19.5" x14ac:dyDescent="0.4">
      <c r="A23" s="110" t="s">
        <v>223</v>
      </c>
      <c r="B23" s="111" t="s">
        <v>208</v>
      </c>
      <c r="C23" s="111" t="s">
        <v>206</v>
      </c>
      <c r="D23" s="111"/>
      <c r="E23" s="111">
        <v>19000000</v>
      </c>
      <c r="F23" s="111">
        <v>400</v>
      </c>
      <c r="G23" s="111" t="s">
        <v>261</v>
      </c>
      <c r="H23" s="111" t="s">
        <v>208</v>
      </c>
      <c r="I23" s="111" t="s">
        <v>206</v>
      </c>
      <c r="J23" s="111"/>
      <c r="K23" s="111"/>
      <c r="L23" s="111">
        <v>19000000</v>
      </c>
      <c r="M23" s="111">
        <v>400</v>
      </c>
      <c r="N23" s="111" t="s">
        <v>261</v>
      </c>
    </row>
    <row r="24" spans="1:14" ht="19.5" x14ac:dyDescent="0.4">
      <c r="A24" s="108" t="s">
        <v>262</v>
      </c>
      <c r="B24" s="109" t="s">
        <v>207</v>
      </c>
      <c r="C24" s="109" t="s">
        <v>205</v>
      </c>
      <c r="D24" s="109"/>
      <c r="E24" s="109">
        <v>13000000</v>
      </c>
      <c r="F24" s="109">
        <v>450</v>
      </c>
      <c r="G24" s="109" t="s">
        <v>261</v>
      </c>
      <c r="H24" s="109" t="s">
        <v>207</v>
      </c>
      <c r="I24" s="109" t="s">
        <v>205</v>
      </c>
      <c r="J24" s="109"/>
      <c r="K24" s="109"/>
      <c r="L24" s="109">
        <v>13000000</v>
      </c>
      <c r="M24" s="109">
        <v>450</v>
      </c>
      <c r="N24" s="109" t="s">
        <v>261</v>
      </c>
    </row>
    <row r="25" spans="1:14" ht="19.5" x14ac:dyDescent="0.4">
      <c r="A25" s="110" t="s">
        <v>224</v>
      </c>
      <c r="B25" s="111" t="s">
        <v>263</v>
      </c>
      <c r="C25" s="111" t="s">
        <v>263</v>
      </c>
      <c r="D25" s="111"/>
      <c r="E25" s="111" t="s">
        <v>263</v>
      </c>
      <c r="F25" s="111" t="s">
        <v>263</v>
      </c>
      <c r="G25" s="111" t="s">
        <v>263</v>
      </c>
      <c r="H25" s="111" t="s">
        <v>263</v>
      </c>
      <c r="I25" s="111" t="s">
        <v>263</v>
      </c>
      <c r="J25" s="111"/>
      <c r="K25" s="111"/>
      <c r="L25" s="111" t="s">
        <v>263</v>
      </c>
      <c r="M25" s="111" t="s">
        <v>263</v>
      </c>
      <c r="N25" s="111" t="s">
        <v>263</v>
      </c>
    </row>
    <row r="26" spans="1:14" ht="19.5" x14ac:dyDescent="0.4">
      <c r="A26" s="108" t="s">
        <v>225</v>
      </c>
      <c r="B26" s="109" t="s">
        <v>263</v>
      </c>
      <c r="C26" s="109" t="s">
        <v>263</v>
      </c>
      <c r="D26" s="109"/>
      <c r="E26" s="109" t="s">
        <v>263</v>
      </c>
      <c r="F26" s="109" t="s">
        <v>263</v>
      </c>
      <c r="G26" s="109" t="s">
        <v>263</v>
      </c>
      <c r="H26" s="109" t="s">
        <v>263</v>
      </c>
      <c r="I26" s="109" t="s">
        <v>263</v>
      </c>
      <c r="J26" s="109"/>
      <c r="K26" s="109"/>
      <c r="L26" s="109" t="s">
        <v>263</v>
      </c>
      <c r="M26" s="109" t="s">
        <v>263</v>
      </c>
      <c r="N26" s="109" t="s">
        <v>263</v>
      </c>
    </row>
    <row r="27" spans="1:14" ht="19.5" x14ac:dyDescent="0.4">
      <c r="A27" s="110" t="s">
        <v>226</v>
      </c>
      <c r="B27" s="111" t="s">
        <v>263</v>
      </c>
      <c r="C27" s="111" t="s">
        <v>263</v>
      </c>
      <c r="D27" s="111"/>
      <c r="E27" s="111" t="s">
        <v>263</v>
      </c>
      <c r="F27" s="111" t="s">
        <v>263</v>
      </c>
      <c r="G27" s="111" t="s">
        <v>263</v>
      </c>
      <c r="H27" s="111" t="s">
        <v>263</v>
      </c>
      <c r="I27" s="111" t="s">
        <v>263</v>
      </c>
      <c r="J27" s="111"/>
      <c r="K27" s="111"/>
      <c r="L27" s="111" t="s">
        <v>263</v>
      </c>
      <c r="M27" s="111" t="s">
        <v>263</v>
      </c>
      <c r="N27" s="111" t="s">
        <v>263</v>
      </c>
    </row>
    <row r="28" spans="1:14" ht="19.5" x14ac:dyDescent="0.4">
      <c r="A28" s="108" t="s">
        <v>227</v>
      </c>
      <c r="B28" s="109" t="s">
        <v>207</v>
      </c>
      <c r="C28" s="109" t="s">
        <v>205</v>
      </c>
      <c r="D28" s="109"/>
      <c r="E28" s="109">
        <v>500000</v>
      </c>
      <c r="F28" s="109">
        <v>6500</v>
      </c>
      <c r="G28" s="109" t="s">
        <v>261</v>
      </c>
      <c r="H28" s="109" t="s">
        <v>207</v>
      </c>
      <c r="I28" s="109" t="s">
        <v>205</v>
      </c>
      <c r="J28" s="109"/>
      <c r="K28" s="109"/>
      <c r="L28" s="109">
        <v>500000</v>
      </c>
      <c r="M28" s="109">
        <v>6500</v>
      </c>
      <c r="N28" s="109" t="s">
        <v>261</v>
      </c>
    </row>
    <row r="29" spans="1:14" ht="19.5" x14ac:dyDescent="0.4">
      <c r="A29" s="110" t="s">
        <v>228</v>
      </c>
      <c r="B29" s="111" t="s">
        <v>263</v>
      </c>
      <c r="C29" s="111" t="s">
        <v>263</v>
      </c>
      <c r="D29" s="111"/>
      <c r="E29" s="111" t="s">
        <v>263</v>
      </c>
      <c r="F29" s="111" t="s">
        <v>263</v>
      </c>
      <c r="G29" s="111" t="s">
        <v>263</v>
      </c>
      <c r="H29" s="111" t="s">
        <v>263</v>
      </c>
      <c r="I29" s="111" t="s">
        <v>263</v>
      </c>
      <c r="J29" s="111"/>
      <c r="K29" s="111"/>
      <c r="L29" s="111" t="s">
        <v>263</v>
      </c>
      <c r="M29" s="111" t="s">
        <v>263</v>
      </c>
      <c r="N29" s="111" t="s">
        <v>263</v>
      </c>
    </row>
    <row r="30" spans="1:14" ht="19.5" x14ac:dyDescent="0.4">
      <c r="A30" s="108" t="s">
        <v>180</v>
      </c>
      <c r="B30" s="109" t="s">
        <v>263</v>
      </c>
      <c r="C30" s="109" t="s">
        <v>263</v>
      </c>
      <c r="D30" s="109"/>
      <c r="E30" s="109" t="s">
        <v>263</v>
      </c>
      <c r="F30" s="109" t="s">
        <v>263</v>
      </c>
      <c r="G30" s="109" t="s">
        <v>263</v>
      </c>
      <c r="H30" s="109" t="s">
        <v>263</v>
      </c>
      <c r="I30" s="109" t="s">
        <v>263</v>
      </c>
      <c r="J30" s="109"/>
      <c r="K30" s="109"/>
      <c r="L30" s="109" t="s">
        <v>263</v>
      </c>
      <c r="M30" s="109" t="s">
        <v>263</v>
      </c>
      <c r="N30" s="109" t="s">
        <v>263</v>
      </c>
    </row>
    <row r="31" spans="1:14" ht="19.5" x14ac:dyDescent="0.4">
      <c r="A31" s="110" t="s">
        <v>189</v>
      </c>
      <c r="B31" s="111" t="s">
        <v>263</v>
      </c>
      <c r="C31" s="111" t="s">
        <v>263</v>
      </c>
      <c r="D31" s="111"/>
      <c r="E31" s="111" t="s">
        <v>263</v>
      </c>
      <c r="F31" s="111" t="s">
        <v>263</v>
      </c>
      <c r="G31" s="111" t="s">
        <v>263</v>
      </c>
      <c r="H31" s="111" t="s">
        <v>263</v>
      </c>
      <c r="I31" s="111" t="s">
        <v>263</v>
      </c>
      <c r="J31" s="111"/>
      <c r="K31" s="111"/>
      <c r="L31" s="111" t="s">
        <v>263</v>
      </c>
      <c r="M31" s="111" t="s">
        <v>263</v>
      </c>
      <c r="N31" s="111" t="s">
        <v>263</v>
      </c>
    </row>
    <row r="32" spans="1:14" ht="19.5" x14ac:dyDescent="0.4">
      <c r="A32" s="108" t="s">
        <v>258</v>
      </c>
      <c r="B32" s="109" t="s">
        <v>208</v>
      </c>
      <c r="C32" s="109" t="s">
        <v>206</v>
      </c>
      <c r="D32" s="109"/>
      <c r="E32" s="109">
        <v>38000000</v>
      </c>
      <c r="F32" s="109">
        <v>400</v>
      </c>
      <c r="G32" s="109" t="s">
        <v>261</v>
      </c>
      <c r="H32" s="109" t="s">
        <v>208</v>
      </c>
      <c r="I32" s="109" t="s">
        <v>206</v>
      </c>
      <c r="J32" s="109"/>
      <c r="K32" s="109"/>
      <c r="L32" s="109">
        <v>38000000</v>
      </c>
      <c r="M32" s="109">
        <v>400</v>
      </c>
      <c r="N32" s="109" t="s">
        <v>261</v>
      </c>
    </row>
    <row r="33" spans="1:14" ht="19.5" x14ac:dyDescent="0.4">
      <c r="A33" s="110" t="s">
        <v>259</v>
      </c>
      <c r="B33" s="111" t="s">
        <v>263</v>
      </c>
      <c r="C33" s="111" t="s">
        <v>263</v>
      </c>
      <c r="D33" s="111"/>
      <c r="E33" s="111" t="s">
        <v>263</v>
      </c>
      <c r="F33" s="111" t="s">
        <v>263</v>
      </c>
      <c r="G33" s="111" t="s">
        <v>263</v>
      </c>
      <c r="H33" s="111" t="s">
        <v>263</v>
      </c>
      <c r="I33" s="111" t="s">
        <v>263</v>
      </c>
      <c r="J33" s="111"/>
      <c r="K33" s="111"/>
      <c r="L33" s="111" t="s">
        <v>263</v>
      </c>
      <c r="M33" s="111" t="s">
        <v>263</v>
      </c>
      <c r="N33" s="111" t="s">
        <v>263</v>
      </c>
    </row>
    <row r="34" spans="1:14" ht="19.5" x14ac:dyDescent="0.4">
      <c r="A34" s="108" t="s">
        <v>260</v>
      </c>
      <c r="B34" s="109" t="s">
        <v>208</v>
      </c>
      <c r="C34" s="109" t="s">
        <v>206</v>
      </c>
      <c r="D34" s="109"/>
      <c r="E34" s="109">
        <v>2763000</v>
      </c>
      <c r="F34" s="109">
        <v>500</v>
      </c>
      <c r="G34" s="109" t="s">
        <v>261</v>
      </c>
      <c r="H34" s="109" t="s">
        <v>208</v>
      </c>
      <c r="I34" s="109" t="s">
        <v>206</v>
      </c>
      <c r="J34" s="109"/>
      <c r="K34" s="109"/>
      <c r="L34" s="109">
        <v>2763000</v>
      </c>
      <c r="M34" s="109">
        <v>500</v>
      </c>
      <c r="N34" s="109" t="s">
        <v>261</v>
      </c>
    </row>
    <row r="35" spans="1:14" ht="19.5" x14ac:dyDescent="0.4">
      <c r="A35" s="110" t="s">
        <v>229</v>
      </c>
      <c r="B35" s="111" t="s">
        <v>207</v>
      </c>
      <c r="C35" s="111" t="s">
        <v>205</v>
      </c>
      <c r="D35" s="111"/>
      <c r="E35" s="111">
        <v>81000</v>
      </c>
      <c r="F35" s="111">
        <v>13000</v>
      </c>
      <c r="G35" s="111" t="s">
        <v>261</v>
      </c>
      <c r="H35" s="111" t="s">
        <v>207</v>
      </c>
      <c r="I35" s="111" t="s">
        <v>205</v>
      </c>
      <c r="J35" s="111"/>
      <c r="K35" s="111"/>
      <c r="L35" s="111">
        <v>81000</v>
      </c>
      <c r="M35" s="111">
        <v>13000</v>
      </c>
      <c r="N35" s="111" t="s">
        <v>261</v>
      </c>
    </row>
    <row r="36" spans="1:14" ht="19.5" x14ac:dyDescent="0.4">
      <c r="A36" s="108" t="s">
        <v>191</v>
      </c>
      <c r="B36" s="109" t="s">
        <v>207</v>
      </c>
      <c r="C36" s="109" t="s">
        <v>205</v>
      </c>
      <c r="D36" s="109"/>
      <c r="E36" s="109">
        <v>1092000</v>
      </c>
      <c r="F36" s="109">
        <v>14000</v>
      </c>
      <c r="G36" s="109" t="s">
        <v>261</v>
      </c>
      <c r="H36" s="109" t="s">
        <v>207</v>
      </c>
      <c r="I36" s="109" t="s">
        <v>205</v>
      </c>
      <c r="J36" s="109"/>
      <c r="K36" s="109"/>
      <c r="L36" s="109">
        <v>1092000</v>
      </c>
      <c r="M36" s="109">
        <v>14000</v>
      </c>
      <c r="N36" s="109" t="s">
        <v>261</v>
      </c>
    </row>
    <row r="37" spans="1:14" ht="19.5" x14ac:dyDescent="0.4">
      <c r="A37" s="110" t="s">
        <v>230</v>
      </c>
      <c r="B37" s="111" t="s">
        <v>263</v>
      </c>
      <c r="C37" s="111" t="s">
        <v>263</v>
      </c>
      <c r="D37" s="111"/>
      <c r="E37" s="111" t="s">
        <v>263</v>
      </c>
      <c r="F37" s="111" t="s">
        <v>263</v>
      </c>
      <c r="G37" s="111" t="s">
        <v>263</v>
      </c>
      <c r="H37" s="111" t="s">
        <v>263</v>
      </c>
      <c r="I37" s="111" t="s">
        <v>263</v>
      </c>
      <c r="J37" s="111"/>
      <c r="K37" s="111"/>
      <c r="L37" s="111" t="s">
        <v>263</v>
      </c>
      <c r="M37" s="111" t="s">
        <v>263</v>
      </c>
      <c r="N37" s="111" t="s">
        <v>263</v>
      </c>
    </row>
    <row r="38" spans="1:14" ht="19.5" x14ac:dyDescent="0.4">
      <c r="A38" s="108" t="s">
        <v>231</v>
      </c>
      <c r="B38" s="109" t="s">
        <v>207</v>
      </c>
      <c r="C38" s="109" t="s">
        <v>205</v>
      </c>
      <c r="D38" s="109"/>
      <c r="E38" s="109">
        <v>2020000</v>
      </c>
      <c r="F38" s="109">
        <v>600</v>
      </c>
      <c r="G38" s="109" t="s">
        <v>240</v>
      </c>
      <c r="H38" s="109" t="s">
        <v>207</v>
      </c>
      <c r="I38" s="109" t="s">
        <v>205</v>
      </c>
      <c r="J38" s="109"/>
      <c r="K38" s="109"/>
      <c r="L38" s="109">
        <v>2020000</v>
      </c>
      <c r="M38" s="109">
        <v>600</v>
      </c>
      <c r="N38" s="109" t="s">
        <v>240</v>
      </c>
    </row>
    <row r="39" spans="1:14" ht="19.5" x14ac:dyDescent="0.4">
      <c r="A39" s="110" t="s">
        <v>232</v>
      </c>
      <c r="B39" s="111" t="s">
        <v>208</v>
      </c>
      <c r="C39" s="111" t="s">
        <v>206</v>
      </c>
      <c r="D39" s="111"/>
      <c r="E39" s="111">
        <v>19000</v>
      </c>
      <c r="F39" s="111">
        <v>85750</v>
      </c>
      <c r="G39" s="111" t="s">
        <v>261</v>
      </c>
      <c r="H39" s="111" t="s">
        <v>208</v>
      </c>
      <c r="I39" s="111" t="s">
        <v>206</v>
      </c>
      <c r="J39" s="111"/>
      <c r="K39" s="111"/>
      <c r="L39" s="111">
        <v>19000</v>
      </c>
      <c r="M39" s="111">
        <v>85750</v>
      </c>
      <c r="N39" s="111" t="s">
        <v>261</v>
      </c>
    </row>
    <row r="40" spans="1:14" ht="19.5" x14ac:dyDescent="0.4">
      <c r="A40" s="108" t="s">
        <v>233</v>
      </c>
      <c r="B40" s="109" t="s">
        <v>207</v>
      </c>
      <c r="C40" s="109" t="s">
        <v>205</v>
      </c>
      <c r="D40" s="109"/>
      <c r="E40" s="109">
        <v>13000</v>
      </c>
      <c r="F40" s="109">
        <v>90750</v>
      </c>
      <c r="G40" s="109" t="s">
        <v>261</v>
      </c>
      <c r="H40" s="109" t="s">
        <v>207</v>
      </c>
      <c r="I40" s="109" t="s">
        <v>205</v>
      </c>
      <c r="J40" s="109"/>
      <c r="K40" s="109"/>
      <c r="L40" s="109">
        <v>13000</v>
      </c>
      <c r="M40" s="109">
        <v>90750</v>
      </c>
      <c r="N40" s="109" t="s">
        <v>261</v>
      </c>
    </row>
    <row r="41" spans="1:14" ht="19.5" x14ac:dyDescent="0.4">
      <c r="A41" s="110" t="s">
        <v>234</v>
      </c>
      <c r="B41" s="111" t="s">
        <v>208</v>
      </c>
      <c r="C41" s="111" t="s">
        <v>206</v>
      </c>
      <c r="D41" s="111"/>
      <c r="E41" s="111">
        <v>15480000</v>
      </c>
      <c r="F41" s="111">
        <v>3250</v>
      </c>
      <c r="G41" s="111" t="s">
        <v>261</v>
      </c>
      <c r="H41" s="111" t="s">
        <v>208</v>
      </c>
      <c r="I41" s="111" t="s">
        <v>206</v>
      </c>
      <c r="J41" s="111"/>
      <c r="K41" s="111"/>
      <c r="L41" s="111">
        <v>15480000</v>
      </c>
      <c r="M41" s="111">
        <v>3250</v>
      </c>
      <c r="N41" s="111" t="s">
        <v>261</v>
      </c>
    </row>
    <row r="42" spans="1:14" ht="19.5" x14ac:dyDescent="0.4">
      <c r="A42" s="108" t="s">
        <v>235</v>
      </c>
      <c r="B42" s="109" t="s">
        <v>207</v>
      </c>
      <c r="C42" s="109" t="s">
        <v>205</v>
      </c>
      <c r="D42" s="109"/>
      <c r="E42" s="109">
        <v>15480000</v>
      </c>
      <c r="F42" s="109">
        <v>3500</v>
      </c>
      <c r="G42" s="109" t="s">
        <v>261</v>
      </c>
      <c r="H42" s="109" t="s">
        <v>207</v>
      </c>
      <c r="I42" s="109" t="s">
        <v>205</v>
      </c>
      <c r="J42" s="109"/>
      <c r="K42" s="109"/>
      <c r="L42" s="109">
        <v>15480000</v>
      </c>
      <c r="M42" s="109">
        <v>3500</v>
      </c>
      <c r="N42" s="109" t="s">
        <v>261</v>
      </c>
    </row>
    <row r="43" spans="1:14" ht="19.5" x14ac:dyDescent="0.4">
      <c r="A43" s="110" t="s">
        <v>236</v>
      </c>
      <c r="B43" s="111" t="s">
        <v>263</v>
      </c>
      <c r="C43" s="111" t="s">
        <v>263</v>
      </c>
      <c r="D43" s="111"/>
      <c r="E43" s="111" t="s">
        <v>263</v>
      </c>
      <c r="F43" s="111" t="s">
        <v>263</v>
      </c>
      <c r="G43" s="111" t="s">
        <v>263</v>
      </c>
      <c r="H43" s="111" t="s">
        <v>263</v>
      </c>
      <c r="I43" s="111" t="s">
        <v>263</v>
      </c>
      <c r="J43" s="111"/>
      <c r="K43" s="111"/>
      <c r="L43" s="111" t="s">
        <v>263</v>
      </c>
      <c r="M43" s="111" t="s">
        <v>263</v>
      </c>
      <c r="N43" s="111" t="s">
        <v>263</v>
      </c>
    </row>
    <row r="44" spans="1:14" ht="19.5" x14ac:dyDescent="0.4">
      <c r="A44" s="108" t="s">
        <v>237</v>
      </c>
      <c r="B44" s="109" t="s">
        <v>208</v>
      </c>
      <c r="C44" s="109" t="s">
        <v>206</v>
      </c>
      <c r="D44" s="109"/>
      <c r="E44" s="109">
        <v>8000000</v>
      </c>
      <c r="F44" s="109">
        <v>380</v>
      </c>
      <c r="G44" s="109" t="s">
        <v>261</v>
      </c>
      <c r="H44" s="109" t="s">
        <v>208</v>
      </c>
      <c r="I44" s="109" t="s">
        <v>206</v>
      </c>
      <c r="J44" s="109"/>
      <c r="K44" s="109"/>
      <c r="L44" s="109">
        <v>8000000</v>
      </c>
      <c r="M44" s="109">
        <v>380</v>
      </c>
      <c r="N44" s="109" t="s">
        <v>261</v>
      </c>
    </row>
    <row r="45" spans="1:14" ht="19.5" x14ac:dyDescent="0.4">
      <c r="A45" s="110" t="s">
        <v>238</v>
      </c>
      <c r="B45" s="111" t="s">
        <v>208</v>
      </c>
      <c r="C45" s="111" t="s">
        <v>206</v>
      </c>
      <c r="D45" s="111"/>
      <c r="E45" s="111">
        <v>19000000</v>
      </c>
      <c r="F45" s="111">
        <v>400</v>
      </c>
      <c r="G45" s="111" t="s">
        <v>261</v>
      </c>
      <c r="H45" s="111" t="s">
        <v>208</v>
      </c>
      <c r="I45" s="111" t="s">
        <v>206</v>
      </c>
      <c r="J45" s="111"/>
      <c r="K45" s="111"/>
      <c r="L45" s="111">
        <v>19000000</v>
      </c>
      <c r="M45" s="111">
        <v>400</v>
      </c>
      <c r="N45" s="111" t="s">
        <v>261</v>
      </c>
    </row>
    <row r="46" spans="1:14" ht="19.5" x14ac:dyDescent="0.4">
      <c r="A46" s="108" t="s">
        <v>239</v>
      </c>
      <c r="B46" s="109" t="s">
        <v>207</v>
      </c>
      <c r="C46" s="109" t="s">
        <v>205</v>
      </c>
      <c r="D46" s="109"/>
      <c r="E46" s="109">
        <v>12000000</v>
      </c>
      <c r="F46" s="109">
        <v>450</v>
      </c>
      <c r="G46" s="109" t="s">
        <v>261</v>
      </c>
      <c r="H46" s="109" t="s">
        <v>207</v>
      </c>
      <c r="I46" s="109" t="s">
        <v>205</v>
      </c>
      <c r="J46" s="109"/>
      <c r="K46" s="109"/>
      <c r="L46" s="109">
        <v>12000000</v>
      </c>
      <c r="M46" s="109">
        <v>450</v>
      </c>
      <c r="N46" s="109" t="s">
        <v>261</v>
      </c>
    </row>
    <row r="47" spans="1:14" ht="19.5" x14ac:dyDescent="0.4">
      <c r="A47" s="110" t="s">
        <v>184</v>
      </c>
      <c r="B47" s="111" t="s">
        <v>263</v>
      </c>
      <c r="C47" s="111" t="s">
        <v>263</v>
      </c>
      <c r="D47" s="111"/>
      <c r="E47" s="111" t="s">
        <v>263</v>
      </c>
      <c r="F47" s="111" t="s">
        <v>263</v>
      </c>
      <c r="G47" s="111" t="s">
        <v>263</v>
      </c>
      <c r="H47" s="111" t="s">
        <v>263</v>
      </c>
      <c r="I47" s="111" t="s">
        <v>263</v>
      </c>
      <c r="J47" s="111"/>
      <c r="K47" s="111"/>
      <c r="L47" s="111" t="s">
        <v>263</v>
      </c>
      <c r="M47" s="111" t="s">
        <v>263</v>
      </c>
      <c r="N47" s="111" t="s">
        <v>263</v>
      </c>
    </row>
    <row r="48" spans="1:14" ht="19.5" x14ac:dyDescent="0.4">
      <c r="A48" s="108" t="s">
        <v>190</v>
      </c>
      <c r="B48" s="109" t="s">
        <v>207</v>
      </c>
      <c r="C48" s="109" t="s">
        <v>205</v>
      </c>
      <c r="D48" s="109"/>
      <c r="E48" s="109">
        <v>2000</v>
      </c>
      <c r="F48" s="109">
        <v>100000</v>
      </c>
      <c r="G48" s="109" t="s">
        <v>211</v>
      </c>
      <c r="H48" s="109" t="s">
        <v>207</v>
      </c>
      <c r="I48" s="109" t="s">
        <v>205</v>
      </c>
      <c r="J48" s="109"/>
      <c r="K48" s="109"/>
      <c r="L48" s="109">
        <v>2000</v>
      </c>
      <c r="M48" s="109">
        <v>100000</v>
      </c>
      <c r="N48" s="109" t="s">
        <v>211</v>
      </c>
    </row>
    <row r="49" spans="1:14" ht="19.5" x14ac:dyDescent="0.4">
      <c r="A49" s="110" t="s">
        <v>188</v>
      </c>
      <c r="B49" s="111" t="s">
        <v>207</v>
      </c>
      <c r="C49" s="111" t="s">
        <v>205</v>
      </c>
      <c r="D49" s="111"/>
      <c r="E49" s="111">
        <v>118000</v>
      </c>
      <c r="F49" s="111">
        <v>110000</v>
      </c>
      <c r="G49" s="111" t="s">
        <v>211</v>
      </c>
      <c r="H49" s="111" t="s">
        <v>207</v>
      </c>
      <c r="I49" s="111" t="s">
        <v>205</v>
      </c>
      <c r="J49" s="111"/>
      <c r="K49" s="111"/>
      <c r="L49" s="111">
        <v>118000</v>
      </c>
      <c r="M49" s="111">
        <v>110000</v>
      </c>
      <c r="N49" s="111" t="s">
        <v>211</v>
      </c>
    </row>
    <row r="50" spans="1:14" ht="19.5" x14ac:dyDescent="0.4">
      <c r="A50" s="108" t="s">
        <v>178</v>
      </c>
      <c r="B50" s="109" t="s">
        <v>263</v>
      </c>
      <c r="C50" s="109" t="s">
        <v>263</v>
      </c>
      <c r="D50" s="109"/>
      <c r="E50" s="109" t="s">
        <v>263</v>
      </c>
      <c r="F50" s="109" t="s">
        <v>263</v>
      </c>
      <c r="G50" s="109" t="s">
        <v>263</v>
      </c>
      <c r="H50" s="109" t="s">
        <v>263</v>
      </c>
      <c r="I50" s="109" t="s">
        <v>263</v>
      </c>
      <c r="J50" s="109"/>
      <c r="K50" s="109"/>
      <c r="L50" s="109" t="s">
        <v>263</v>
      </c>
      <c r="M50" s="109" t="s">
        <v>263</v>
      </c>
      <c r="N50" s="109" t="s">
        <v>263</v>
      </c>
    </row>
    <row r="51" spans="1:14" ht="19.5" x14ac:dyDescent="0.4">
      <c r="A51" s="110" t="s">
        <v>239</v>
      </c>
      <c r="B51" s="111" t="s">
        <v>263</v>
      </c>
      <c r="C51" s="111" t="s">
        <v>263</v>
      </c>
      <c r="D51" s="111"/>
      <c r="E51" s="111" t="s">
        <v>263</v>
      </c>
      <c r="F51" s="111" t="s">
        <v>263</v>
      </c>
      <c r="G51" s="111" t="s">
        <v>263</v>
      </c>
      <c r="H51" s="111" t="s">
        <v>263</v>
      </c>
      <c r="I51" s="111" t="s">
        <v>263</v>
      </c>
      <c r="J51" s="111"/>
      <c r="K51" s="111"/>
      <c r="L51" s="111" t="s">
        <v>263</v>
      </c>
      <c r="M51" s="111" t="s">
        <v>263</v>
      </c>
      <c r="N51" s="111" t="s">
        <v>263</v>
      </c>
    </row>
    <row r="52" spans="1:14" ht="19.5" x14ac:dyDescent="0.4">
      <c r="A52" s="108" t="s">
        <v>178</v>
      </c>
      <c r="B52" s="109" t="s">
        <v>207</v>
      </c>
      <c r="C52" s="109" t="s">
        <v>205</v>
      </c>
      <c r="D52" s="109"/>
      <c r="E52" s="109">
        <v>100000</v>
      </c>
      <c r="F52" s="109">
        <v>15000</v>
      </c>
      <c r="G52" s="109" t="s">
        <v>261</v>
      </c>
      <c r="H52" s="109" t="s">
        <v>207</v>
      </c>
      <c r="I52" s="109" t="s">
        <v>205</v>
      </c>
      <c r="J52" s="109"/>
      <c r="K52" s="109"/>
      <c r="L52" s="109">
        <v>100000</v>
      </c>
      <c r="M52" s="109">
        <v>15000</v>
      </c>
      <c r="N52" s="109" t="s">
        <v>261</v>
      </c>
    </row>
    <row r="53" spans="1:14" x14ac:dyDescent="0.4">
      <c r="E53" s="128"/>
    </row>
  </sheetData>
  <mergeCells count="7">
    <mergeCell ref="B7:G7"/>
    <mergeCell ref="H7:N7"/>
    <mergeCell ref="A5:G5"/>
    <mergeCell ref="H5:I5"/>
    <mergeCell ref="A1:N1"/>
    <mergeCell ref="A2:N2"/>
    <mergeCell ref="A3:N3"/>
  </mergeCells>
  <pageMargins left="0.7" right="0.7" top="0.75" bottom="0.75" header="0.3" footer="0.3"/>
  <pageSetup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3"/>
  <sheetViews>
    <sheetView rightToLeft="1" view="pageBreakPreview" zoomScale="115" zoomScaleNormal="106" zoomScaleSheetLayoutView="115" workbookViewId="0">
      <selection activeCell="A19" sqref="A19"/>
    </sheetView>
  </sheetViews>
  <sheetFormatPr defaultColWidth="9" defaultRowHeight="18" x14ac:dyDescent="0.45"/>
  <cols>
    <col min="1" max="1" width="54.140625" style="22" bestFit="1" customWidth="1"/>
    <col min="2" max="2" width="7.85546875" style="26" bestFit="1" customWidth="1"/>
    <col min="3" max="3" width="15.85546875" style="26" customWidth="1"/>
    <col min="4" max="4" width="15.7109375" style="26" customWidth="1"/>
    <col min="5" max="5" width="17.7109375" style="26" customWidth="1"/>
    <col min="6" max="19" width="13" style="1" customWidth="1"/>
    <col min="20" max="20" width="9" style="1" customWidth="1"/>
    <col min="21" max="16384" width="9" style="1"/>
  </cols>
  <sheetData>
    <row r="1" spans="1:19" ht="19.5" x14ac:dyDescent="0.45">
      <c r="A1" s="150" t="s">
        <v>0</v>
      </c>
      <c r="B1" s="150"/>
      <c r="C1" s="150"/>
      <c r="D1" s="150"/>
      <c r="E1" s="150"/>
      <c r="F1" s="169"/>
      <c r="G1" s="169"/>
      <c r="H1" s="169"/>
      <c r="I1" s="169"/>
      <c r="J1" s="169"/>
      <c r="K1" s="150"/>
      <c r="L1" s="150"/>
      <c r="M1" s="150"/>
      <c r="N1" s="150"/>
      <c r="O1" s="150"/>
      <c r="P1" s="150"/>
      <c r="Q1" s="150"/>
      <c r="R1" s="150"/>
      <c r="S1" s="150"/>
    </row>
    <row r="2" spans="1:19" ht="19.5" x14ac:dyDescent="0.45">
      <c r="A2" s="150" t="s">
        <v>76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</row>
    <row r="3" spans="1:19" ht="19.5" x14ac:dyDescent="0.45">
      <c r="A3" s="150" t="s">
        <v>271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</row>
    <row r="4" spans="1:19" ht="21" x14ac:dyDescent="0.45">
      <c r="A4" s="148" t="s">
        <v>77</v>
      </c>
      <c r="B4" s="148"/>
      <c r="C4" s="148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19" ht="21" x14ac:dyDescent="0.45">
      <c r="A5" s="56"/>
      <c r="B5" s="56"/>
      <c r="C5" s="56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1:19" ht="20.25" thickBot="1" x14ac:dyDescent="0.5">
      <c r="A6" s="33" t="s">
        <v>78</v>
      </c>
      <c r="B6" s="33" t="s">
        <v>79</v>
      </c>
      <c r="C6" s="33" t="s">
        <v>67</v>
      </c>
      <c r="D6" s="57" t="s">
        <v>80</v>
      </c>
      <c r="E6" s="57" t="s">
        <v>81</v>
      </c>
    </row>
    <row r="7" spans="1:19" ht="23.1" customHeight="1" x14ac:dyDescent="0.45">
      <c r="A7" s="34" t="s">
        <v>82</v>
      </c>
      <c r="B7" s="58" t="s">
        <v>83</v>
      </c>
      <c r="C7" s="35">
        <f>'درآمد سود سهام'!H13</f>
        <v>6214197250</v>
      </c>
      <c r="D7" s="36">
        <f>Table8[[#This Row],[156623473092.0000]]/$C$12</f>
        <v>0.86715580286229554</v>
      </c>
      <c r="E7" s="36">
        <f>Table8[[#This Row],[156623473092.0000]]/' سهام'!$O$9</f>
        <v>1.1769251798630349E-2</v>
      </c>
    </row>
    <row r="8" spans="1:19" ht="23.1" customHeight="1" x14ac:dyDescent="0.45">
      <c r="A8" s="34" t="s">
        <v>161</v>
      </c>
      <c r="B8" s="58" t="s">
        <v>84</v>
      </c>
      <c r="C8" s="35">
        <f>'درآمد سرمایه گذاری در صندوق'!I10</f>
        <v>891602</v>
      </c>
      <c r="D8" s="36">
        <f>Table8[[#This Row],[156623473092.0000]]/$C$12</f>
        <v>1.2441797661695217E-4</v>
      </c>
      <c r="E8" s="36">
        <f>Table8[[#This Row],[156623473092.0000]]/' سهام'!$O$9</f>
        <v>1.6886313742555269E-6</v>
      </c>
    </row>
    <row r="9" spans="1:19" ht="23.1" customHeight="1" x14ac:dyDescent="0.45">
      <c r="A9" s="34" t="s">
        <v>85</v>
      </c>
      <c r="B9" s="58" t="s">
        <v>86</v>
      </c>
      <c r="C9" s="35">
        <f>'درآمد سرمایه گذاری در اوراق بها'!H10</f>
        <v>903385103</v>
      </c>
      <c r="D9" s="36">
        <f>Table8[[#This Row],[156623473092.0000]]/$C$12</f>
        <v>0.1260622414722678</v>
      </c>
      <c r="E9" s="36">
        <f>Table8[[#This Row],[156623473092.0000]]/' سهام'!$O$9</f>
        <v>1.7109477412128513E-3</v>
      </c>
    </row>
    <row r="10" spans="1:19" ht="23.1" customHeight="1" x14ac:dyDescent="0.45">
      <c r="A10" s="34" t="s">
        <v>87</v>
      </c>
      <c r="B10" s="58" t="s">
        <v>88</v>
      </c>
      <c r="C10" s="35">
        <f>'سود سپرده بانکی'!D9</f>
        <v>47709134</v>
      </c>
      <c r="D10" s="36">
        <f>Table8[[#This Row],[156623473092.0000]]/$C$12</f>
        <v>6.6575376888197172E-3</v>
      </c>
      <c r="E10" s="36">
        <f>Table8[[#This Row],[156623473092.0000]]/' سهام'!$O$9</f>
        <v>9.0357738666984908E-5</v>
      </c>
    </row>
    <row r="11" spans="1:19" ht="23.1" customHeight="1" thickBot="1" x14ac:dyDescent="0.5">
      <c r="A11" s="34" t="s">
        <v>89</v>
      </c>
      <c r="B11" s="58" t="s">
        <v>162</v>
      </c>
      <c r="C11" s="35">
        <f>'سایر درآمدها'!B10</f>
        <v>0</v>
      </c>
      <c r="D11" s="36">
        <f>Table8[[#This Row],[156623473092.0000]]/$C$12</f>
        <v>0</v>
      </c>
      <c r="E11" s="36">
        <f>Table8[[#This Row],[156623473092.0000]]/' سهام'!$O$9</f>
        <v>0</v>
      </c>
    </row>
    <row r="12" spans="1:19" ht="23.1" customHeight="1" x14ac:dyDescent="0.45">
      <c r="A12" s="53" t="s">
        <v>60</v>
      </c>
      <c r="B12" s="53"/>
      <c r="C12" s="43">
        <f>SUBTOTAL(109,C7:C11)</f>
        <v>7166183089</v>
      </c>
      <c r="D12" s="54">
        <f>SUBTOTAL(109,D7:D11)</f>
        <v>1.0000000000000002</v>
      </c>
      <c r="E12" s="45">
        <f>SUBTOTAL(109,E7:E11)</f>
        <v>1.3572245909884441E-2</v>
      </c>
    </row>
    <row r="13" spans="1:19" ht="23.1" customHeight="1" x14ac:dyDescent="0.45">
      <c r="A13" s="23" t="s">
        <v>61</v>
      </c>
      <c r="B13" s="24"/>
      <c r="C13" s="15"/>
      <c r="D13" s="15"/>
      <c r="E13" s="25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</sheetData>
  <mergeCells count="12">
    <mergeCell ref="A4:C4"/>
    <mergeCell ref="A1:E1"/>
    <mergeCell ref="K1:O1"/>
    <mergeCell ref="P1:S1"/>
    <mergeCell ref="A2:E2"/>
    <mergeCell ref="F2:J2"/>
    <mergeCell ref="K2:O2"/>
    <mergeCell ref="P2:S2"/>
    <mergeCell ref="A3:E3"/>
    <mergeCell ref="F3:J3"/>
    <mergeCell ref="K3:O3"/>
    <mergeCell ref="P3:S3"/>
  </mergeCells>
  <pageMargins left="0.7" right="0.7" top="0.75" bottom="0.75" header="0.3" footer="0.3"/>
  <pageSetup paperSize="9" orientation="landscape" horizontalDpi="4294967295" verticalDpi="4294967295" r:id="rId1"/>
  <headerFooter differentOddEven="1" differentFirst="1"/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9"/>
  <sheetViews>
    <sheetView rightToLeft="1" view="pageBreakPreview" zoomScale="115" zoomScaleNormal="100" zoomScaleSheetLayoutView="115" workbookViewId="0">
      <selection activeCell="B8" sqref="B8"/>
    </sheetView>
  </sheetViews>
  <sheetFormatPr defaultColWidth="9" defaultRowHeight="19.5" x14ac:dyDescent="0.4"/>
  <cols>
    <col min="1" max="1" width="21.85546875" style="8" bestFit="1" customWidth="1"/>
    <col min="2" max="2" width="14.85546875" style="8" bestFit="1" customWidth="1"/>
    <col min="3" max="3" width="16.5703125" style="8" bestFit="1" customWidth="1"/>
    <col min="4" max="4" width="17.7109375" style="8" bestFit="1" customWidth="1"/>
    <col min="5" max="5" width="14.85546875" style="8" customWidth="1"/>
    <col min="6" max="6" width="15.42578125" style="8" customWidth="1"/>
    <col min="7" max="7" width="13.85546875" style="28" bestFit="1" customWidth="1"/>
    <col min="8" max="16384" width="9" style="4"/>
  </cols>
  <sheetData>
    <row r="1" spans="1:7" ht="21" x14ac:dyDescent="0.4">
      <c r="A1" s="153" t="s">
        <v>0</v>
      </c>
      <c r="B1" s="153"/>
      <c r="C1" s="153"/>
      <c r="D1" s="153"/>
      <c r="E1" s="153"/>
      <c r="F1" s="17"/>
    </row>
    <row r="2" spans="1:7" ht="21" x14ac:dyDescent="0.4">
      <c r="A2" s="153" t="s">
        <v>2</v>
      </c>
      <c r="B2" s="153"/>
      <c r="C2" s="153"/>
      <c r="D2" s="153"/>
      <c r="E2" s="153"/>
      <c r="F2" s="17"/>
    </row>
    <row r="3" spans="1:7" ht="21" x14ac:dyDescent="0.4">
      <c r="A3" s="153" t="s">
        <v>271</v>
      </c>
      <c r="B3" s="153"/>
      <c r="C3" s="153"/>
      <c r="D3" s="153"/>
      <c r="E3" s="153"/>
      <c r="F3" s="17"/>
    </row>
    <row r="4" spans="1:7" ht="21" x14ac:dyDescent="0.4">
      <c r="A4" s="148" t="s">
        <v>64</v>
      </c>
      <c r="B4" s="148"/>
      <c r="C4" s="148"/>
      <c r="D4" s="148"/>
      <c r="E4" s="148"/>
      <c r="F4" s="17"/>
    </row>
    <row r="5" spans="1:7" ht="20.25" thickBot="1" x14ac:dyDescent="0.45">
      <c r="A5" s="17"/>
      <c r="B5" s="21"/>
      <c r="C5" s="21"/>
      <c r="D5" s="21"/>
      <c r="E5" s="17"/>
      <c r="F5" s="17"/>
    </row>
    <row r="6" spans="1:7" ht="18.75" customHeight="1" thickBot="1" x14ac:dyDescent="0.45">
      <c r="A6" s="46"/>
      <c r="B6" s="47" t="s">
        <v>250</v>
      </c>
      <c r="C6" s="152" t="s">
        <v>5</v>
      </c>
      <c r="D6" s="152"/>
      <c r="E6" s="154" t="s">
        <v>270</v>
      </c>
      <c r="F6" s="154"/>
    </row>
    <row r="7" spans="1:7" ht="31.9" customHeight="1" x14ac:dyDescent="0.4">
      <c r="A7" s="48" t="s">
        <v>65</v>
      </c>
      <c r="B7" s="50" t="s">
        <v>67</v>
      </c>
      <c r="C7" s="49" t="s">
        <v>68</v>
      </c>
      <c r="D7" s="49" t="s">
        <v>69</v>
      </c>
      <c r="E7" s="51" t="s">
        <v>67</v>
      </c>
      <c r="F7" s="51" t="s">
        <v>140</v>
      </c>
    </row>
    <row r="8" spans="1:7" ht="23.1" customHeight="1" x14ac:dyDescent="0.4">
      <c r="A8" s="100" t="s">
        <v>75</v>
      </c>
      <c r="B8" s="35">
        <v>37958131699</v>
      </c>
      <c r="C8" s="35">
        <v>244553425</v>
      </c>
      <c r="D8" s="35">
        <v>15411257538</v>
      </c>
      <c r="E8" s="35">
        <f>Table7[[#This Row],[18500000000.0000]]+Table7[[#This Row],[0.0000]]-Table7[[#This Row],[6250000000.0000]]</f>
        <v>22791427586</v>
      </c>
      <c r="F8" s="120">
        <f>Table7[[#This Row],[12250000000.0000]]/' سهام'!$O$9</f>
        <v>4.3165358182005543E-2</v>
      </c>
      <c r="G8" s="55">
        <f>Table7[[#This Row],[18500000000.0000]]+Table7[[#This Row],[0.0000]]-Table7[[#This Row],[6250000000.0000]]-Table7[[#This Row],[12250000000.0000]]</f>
        <v>0</v>
      </c>
    </row>
    <row r="9" spans="1:7" ht="23.1" customHeight="1" x14ac:dyDescent="0.4">
      <c r="A9" s="52" t="s">
        <v>73</v>
      </c>
      <c r="B9" s="35">
        <v>11400000000</v>
      </c>
      <c r="C9" s="35">
        <v>0</v>
      </c>
      <c r="D9" s="35">
        <v>0</v>
      </c>
      <c r="E9" s="35">
        <f>Table7[[#This Row],[18500000000.0000]]+Table7[[#This Row],[0.0000]]-Table7[[#This Row],[6250000000.0000]]</f>
        <v>11400000000</v>
      </c>
      <c r="F9" s="36">
        <f>Table7[[#This Row],[12250000000.0000]]/' سهام'!$O$9</f>
        <v>2.1590796865095643E-2</v>
      </c>
      <c r="G9" s="55">
        <f>Table7[[#This Row],[18500000000.0000]]+Table7[[#This Row],[0.0000]]-Table7[[#This Row],[6250000000.0000]]-Table7[[#This Row],[12250000000.0000]]</f>
        <v>0</v>
      </c>
    </row>
    <row r="10" spans="1:7" ht="23.1" customHeight="1" thickBot="1" x14ac:dyDescent="0.45">
      <c r="A10" s="52" t="s">
        <v>72</v>
      </c>
      <c r="B10" s="35">
        <v>1158736000</v>
      </c>
      <c r="C10" s="35">
        <v>0</v>
      </c>
      <c r="D10" s="35">
        <v>0</v>
      </c>
      <c r="E10" s="35">
        <f>Table7[[#This Row],[18500000000.0000]]+Table7[[#This Row],[0.0000]]-Table7[[#This Row],[6250000000.0000]]</f>
        <v>1158736000</v>
      </c>
      <c r="F10" s="36">
        <f>Table7[[#This Row],[12250000000.0000]]/' سهام'!$O$9</f>
        <v>2.194564350550304E-3</v>
      </c>
      <c r="G10" s="55">
        <f>Table7[[#This Row],[18500000000.0000]]+Table7[[#This Row],[0.0000]]-Table7[[#This Row],[6250000000.0000]]-Table7[[#This Row],[12250000000.0000]]</f>
        <v>0</v>
      </c>
    </row>
    <row r="11" spans="1:7" ht="23.1" customHeight="1" x14ac:dyDescent="0.4">
      <c r="A11" s="53" t="s">
        <v>60</v>
      </c>
      <c r="B11" s="43">
        <f>SUBTOTAL(109,B8:B10)</f>
        <v>50516867699</v>
      </c>
      <c r="C11" s="43">
        <f>SUBTOTAL(109,C8:C10)</f>
        <v>244553425</v>
      </c>
      <c r="D11" s="43">
        <f>SUBTOTAL(109,D8:D10)</f>
        <v>15411257538</v>
      </c>
      <c r="E11" s="43">
        <f>SUBTOTAL(109,E8:E10)</f>
        <v>35350163586</v>
      </c>
      <c r="F11" s="45">
        <f>SUBTOTAL(109,F8:F10)</f>
        <v>6.6950719397651501E-2</v>
      </c>
      <c r="G11" s="55">
        <f>Table7[[#This Row],[18500000000.0000]]+Table7[[#This Row],[0.0000]]-Table7[[#This Row],[6250000000.0000]]-Table7[[#This Row],[12250000000.0000]]</f>
        <v>0</v>
      </c>
    </row>
    <row r="12" spans="1:7" ht="23.1" customHeight="1" x14ac:dyDescent="0.4">
      <c r="A12" s="20" t="s">
        <v>61</v>
      </c>
      <c r="B12" s="15"/>
      <c r="C12" s="151"/>
      <c r="D12" s="151"/>
      <c r="E12" s="15"/>
      <c r="F12" s="14"/>
    </row>
    <row r="13" spans="1:7" x14ac:dyDescent="0.4">
      <c r="C13" s="28"/>
      <c r="D13" s="4"/>
      <c r="E13" s="4"/>
      <c r="F13" s="4"/>
      <c r="G13" s="4"/>
    </row>
    <row r="14" spans="1:7" x14ac:dyDescent="0.4">
      <c r="C14" s="28"/>
      <c r="D14" s="4"/>
      <c r="E14" s="4"/>
      <c r="F14" s="4"/>
      <c r="G14" s="4"/>
    </row>
    <row r="15" spans="1:7" x14ac:dyDescent="0.4">
      <c r="C15" s="55"/>
      <c r="D15" s="4"/>
      <c r="E15" s="4"/>
      <c r="F15" s="4"/>
      <c r="G15" s="4"/>
    </row>
    <row r="16" spans="1:7" x14ac:dyDescent="0.4">
      <c r="C16" s="28"/>
      <c r="D16" s="4"/>
      <c r="E16" s="4"/>
      <c r="F16" s="4"/>
      <c r="G16" s="4"/>
    </row>
    <row r="17" spans="3:7" x14ac:dyDescent="0.4">
      <c r="C17" s="55"/>
      <c r="D17" s="4"/>
      <c r="E17" s="4"/>
      <c r="F17" s="4"/>
      <c r="G17" s="4"/>
    </row>
    <row r="18" spans="3:7" x14ac:dyDescent="0.4">
      <c r="C18" s="28"/>
      <c r="D18" s="4"/>
      <c r="E18" s="4"/>
      <c r="F18" s="4"/>
      <c r="G18" s="4"/>
    </row>
    <row r="19" spans="3:7" x14ac:dyDescent="0.4">
      <c r="C19" s="28"/>
      <c r="D19" s="4"/>
      <c r="E19" s="4"/>
      <c r="F19" s="4"/>
      <c r="G19" s="4"/>
    </row>
  </sheetData>
  <mergeCells count="7">
    <mergeCell ref="C12:D12"/>
    <mergeCell ref="C6:D6"/>
    <mergeCell ref="A1:E1"/>
    <mergeCell ref="A2:E2"/>
    <mergeCell ref="A3:E3"/>
    <mergeCell ref="A4:E4"/>
    <mergeCell ref="E6:F6"/>
  </mergeCells>
  <pageMargins left="0.7" right="0.7" top="0.75" bottom="0.75" header="0.3" footer="0.3"/>
  <pageSetup paperSize="9" scale="81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9BEE8-8FA8-4B96-BDD4-0414651EBFA5}">
  <dimension ref="A1:I12"/>
  <sheetViews>
    <sheetView rightToLeft="1" view="pageBreakPreview" zoomScale="120" zoomScaleNormal="106" zoomScaleSheetLayoutView="120" workbookViewId="0">
      <selection activeCell="H2" sqref="H2"/>
    </sheetView>
  </sheetViews>
  <sheetFormatPr defaultColWidth="9" defaultRowHeight="19.5" x14ac:dyDescent="0.45"/>
  <cols>
    <col min="1" max="1" width="22.7109375" style="26" bestFit="1" customWidth="1"/>
    <col min="2" max="2" width="12.7109375" style="26" bestFit="1" customWidth="1"/>
    <col min="3" max="3" width="10.7109375" style="26" bestFit="1" customWidth="1"/>
    <col min="4" max="4" width="12.5703125" style="26" bestFit="1" customWidth="1"/>
    <col min="5" max="5" width="14" style="26" bestFit="1" customWidth="1"/>
    <col min="6" max="6" width="11" style="26" bestFit="1" customWidth="1"/>
    <col min="7" max="7" width="14.5703125" style="26" bestFit="1" customWidth="1"/>
    <col min="8" max="8" width="9" style="55"/>
    <col min="9" max="16384" width="9" style="1"/>
  </cols>
  <sheetData>
    <row r="1" spans="1:9" x14ac:dyDescent="0.45">
      <c r="A1" s="144" t="s">
        <v>0</v>
      </c>
      <c r="B1" s="144"/>
      <c r="C1" s="144"/>
      <c r="D1" s="144"/>
      <c r="E1" s="144"/>
      <c r="F1" s="144"/>
      <c r="G1" s="144"/>
    </row>
    <row r="2" spans="1:9" x14ac:dyDescent="0.45">
      <c r="A2" s="144" t="s">
        <v>76</v>
      </c>
      <c r="B2" s="144"/>
      <c r="C2" s="144"/>
      <c r="D2" s="144"/>
      <c r="E2" s="144"/>
      <c r="F2" s="144"/>
      <c r="G2" s="144"/>
    </row>
    <row r="3" spans="1:9" x14ac:dyDescent="0.45">
      <c r="A3" s="144" t="s">
        <v>271</v>
      </c>
      <c r="B3" s="144"/>
      <c r="C3" s="144"/>
      <c r="D3" s="144"/>
      <c r="E3" s="144"/>
      <c r="F3" s="144"/>
      <c r="G3" s="144"/>
    </row>
    <row r="4" spans="1:9" ht="21" x14ac:dyDescent="0.45">
      <c r="A4" s="148" t="s">
        <v>102</v>
      </c>
      <c r="B4" s="148"/>
      <c r="C4" s="28"/>
      <c r="D4" s="28"/>
      <c r="E4" s="28"/>
      <c r="F4" s="28"/>
      <c r="G4" s="28"/>
    </row>
    <row r="5" spans="1:9" ht="16.5" customHeight="1" thickBot="1" x14ac:dyDescent="0.5">
      <c r="A5" s="28"/>
      <c r="B5" s="155" t="s">
        <v>273</v>
      </c>
      <c r="C5" s="155"/>
      <c r="D5" s="155"/>
      <c r="E5" s="155" t="s">
        <v>274</v>
      </c>
      <c r="F5" s="155"/>
      <c r="G5" s="155"/>
    </row>
    <row r="6" spans="1:9" ht="38.25" customHeight="1" thickBot="1" x14ac:dyDescent="0.5">
      <c r="A6" s="28" t="s">
        <v>78</v>
      </c>
      <c r="B6" s="42" t="s">
        <v>100</v>
      </c>
      <c r="C6" s="42" t="s">
        <v>96</v>
      </c>
      <c r="D6" s="42" t="s">
        <v>101</v>
      </c>
      <c r="E6" s="42" t="s">
        <v>100</v>
      </c>
      <c r="F6" s="42" t="s">
        <v>96</v>
      </c>
      <c r="G6" s="42" t="s">
        <v>101</v>
      </c>
    </row>
    <row r="7" spans="1:9" ht="23.1" customHeight="1" x14ac:dyDescent="0.45">
      <c r="A7" s="122" t="s">
        <v>70</v>
      </c>
      <c r="B7" s="123">
        <v>-213452064</v>
      </c>
      <c r="C7" s="124">
        <v>0</v>
      </c>
      <c r="D7" s="123">
        <f>Table11[[#This Row],[320671233.0000]]+Table11[[#This Row],[0.0000]]</f>
        <v>-213452064</v>
      </c>
      <c r="E7" s="123">
        <v>1989932193</v>
      </c>
      <c r="F7" s="124">
        <v>0</v>
      </c>
      <c r="G7" s="125">
        <f>Table11[[#This Row],[962013699.0000]]+Table11[[#This Row],[163507.0000]]</f>
        <v>1989932193</v>
      </c>
      <c r="H7" s="55">
        <f>Table11[[#This Row],[320671233.0000]]+Table11[[#This Row],[0.0000]]-Table11[[#This Row],[Column4]]</f>
        <v>0</v>
      </c>
      <c r="I7" s="55">
        <f>Table11[[#This Row],[962013699.0000]]+Table11[[#This Row],[163507.0000]]-Table11[[#This Row],[962177206.0000]]</f>
        <v>0</v>
      </c>
    </row>
    <row r="8" spans="1:9" ht="23.1" customHeight="1" thickBot="1" x14ac:dyDescent="0.5">
      <c r="A8" s="68" t="s">
        <v>73</v>
      </c>
      <c r="B8" s="69">
        <v>261419187</v>
      </c>
      <c r="C8" s="126">
        <v>-257989</v>
      </c>
      <c r="D8" s="70">
        <f>Table11[[#This Row],[320671233.0000]]+Table11[[#This Row],[0.0000]]</f>
        <v>261161198</v>
      </c>
      <c r="E8" s="69">
        <v>2050964405</v>
      </c>
      <c r="F8" s="73">
        <v>345117</v>
      </c>
      <c r="G8" s="70">
        <f>Table11[[#This Row],[962013699.0000]]+Table11[[#This Row],[163507.0000]]</f>
        <v>2051309522</v>
      </c>
      <c r="H8" s="55">
        <f>Table11[[#This Row],[320671233.0000]]+Table11[[#This Row],[0.0000]]-Table11[[#This Row],[Column4]]</f>
        <v>0</v>
      </c>
      <c r="I8" s="55">
        <f>Table11[[#This Row],[962013699.0000]]+Table11[[#This Row],[163507.0000]]-Table11[[#This Row],[962177206.0000]]</f>
        <v>0</v>
      </c>
    </row>
    <row r="9" spans="1:9" ht="23.1" customHeight="1" x14ac:dyDescent="0.45">
      <c r="A9" s="71" t="s">
        <v>60</v>
      </c>
      <c r="B9" s="72">
        <f t="shared" ref="B9:G9" si="0">SUBTOTAL(109,B7:B8)</f>
        <v>47967123</v>
      </c>
      <c r="C9" s="72">
        <f t="shared" si="0"/>
        <v>-257989</v>
      </c>
      <c r="D9" s="72">
        <f t="shared" si="0"/>
        <v>47709134</v>
      </c>
      <c r="E9" s="72">
        <f t="shared" si="0"/>
        <v>4040896598</v>
      </c>
      <c r="F9" s="72">
        <f t="shared" si="0"/>
        <v>345117</v>
      </c>
      <c r="G9" s="72">
        <f t="shared" si="0"/>
        <v>4041241715</v>
      </c>
      <c r="H9" s="55">
        <f>Table11[[#This Row],[320671233.0000]]+Table11[[#This Row],[0.0000]]-Table11[[#This Row],[Column4]]</f>
        <v>0</v>
      </c>
      <c r="I9" s="55">
        <f>Table11[[#This Row],[962013699.0000]]+Table11[[#This Row],[163507.0000]]-Table11[[#This Row],[962177206.0000]]</f>
        <v>0</v>
      </c>
    </row>
    <row r="10" spans="1:9" ht="23.1" customHeight="1" x14ac:dyDescent="0.45">
      <c r="A10" s="12" t="s">
        <v>61</v>
      </c>
      <c r="B10" s="14"/>
      <c r="C10" s="14"/>
      <c r="D10" s="14"/>
      <c r="E10" s="14"/>
      <c r="F10" s="14"/>
      <c r="G10" s="14"/>
    </row>
    <row r="12" spans="1:9" x14ac:dyDescent="0.45">
      <c r="E12" s="77"/>
    </row>
  </sheetData>
  <mergeCells count="6">
    <mergeCell ref="A1:G1"/>
    <mergeCell ref="A2:G2"/>
    <mergeCell ref="A3:G3"/>
    <mergeCell ref="A4:B4"/>
    <mergeCell ref="B5:D5"/>
    <mergeCell ref="E5:G5"/>
  </mergeCells>
  <pageMargins left="0.7" right="0.7" top="0.75" bottom="0.75" header="0.3" footer="0.3"/>
  <pageSetup paperSize="9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4"/>
  <sheetViews>
    <sheetView rightToLeft="1" view="pageBreakPreview" zoomScale="115" zoomScaleNormal="106" zoomScaleSheetLayoutView="115" workbookViewId="0">
      <selection activeCell="D25" sqref="D25"/>
    </sheetView>
  </sheetViews>
  <sheetFormatPr defaultColWidth="9" defaultRowHeight="15.75" x14ac:dyDescent="0.45"/>
  <cols>
    <col min="1" max="1" width="29.7109375" style="8" bestFit="1" customWidth="1"/>
    <col min="2" max="2" width="13.85546875" style="8" bestFit="1" customWidth="1"/>
    <col min="3" max="3" width="22.85546875" style="8" bestFit="1" customWidth="1"/>
    <col min="4" max="5" width="15.42578125" style="8" bestFit="1" customWidth="1"/>
    <col min="6" max="6" width="13.140625" style="8" bestFit="1" customWidth="1"/>
    <col min="7" max="7" width="16.140625" style="8" bestFit="1" customWidth="1"/>
    <col min="8" max="8" width="15.42578125" style="8" bestFit="1" customWidth="1"/>
    <col min="9" max="9" width="12.5703125" style="8" bestFit="1" customWidth="1"/>
    <col min="10" max="10" width="16.140625" style="8" bestFit="1" customWidth="1"/>
    <col min="11" max="13" width="13" style="8" customWidth="1"/>
    <col min="14" max="14" width="9" style="8" customWidth="1"/>
    <col min="15" max="16384" width="9" style="8"/>
  </cols>
  <sheetData>
    <row r="1" spans="1:13" ht="19.5" x14ac:dyDescent="0.45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13" ht="19.5" x14ac:dyDescent="0.45">
      <c r="A2" s="144" t="s">
        <v>76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 ht="19.5" x14ac:dyDescent="0.45">
      <c r="A3" s="144" t="s">
        <v>271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13" ht="21" x14ac:dyDescent="0.45">
      <c r="A4" s="59" t="s">
        <v>90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16.5" customHeight="1" thickBot="1" x14ac:dyDescent="0.5">
      <c r="A5" s="60"/>
      <c r="B5" s="156" t="s">
        <v>91</v>
      </c>
      <c r="C5" s="156"/>
      <c r="D5" s="156"/>
      <c r="E5" s="157" t="s">
        <v>273</v>
      </c>
      <c r="F5" s="157"/>
      <c r="G5" s="157"/>
      <c r="H5" s="157" t="s">
        <v>274</v>
      </c>
      <c r="I5" s="157"/>
      <c r="J5" s="157"/>
      <c r="K5" s="7"/>
      <c r="L5" s="7"/>
      <c r="M5" s="7"/>
    </row>
    <row r="6" spans="1:13" s="5" customFormat="1" ht="47.25" customHeight="1" thickBot="1" x14ac:dyDescent="0.5">
      <c r="A6" s="16" t="s">
        <v>62</v>
      </c>
      <c r="B6" s="16" t="s">
        <v>92</v>
      </c>
      <c r="C6" s="16" t="s">
        <v>93</v>
      </c>
      <c r="D6" s="16" t="s">
        <v>94</v>
      </c>
      <c r="E6" s="16" t="s">
        <v>95</v>
      </c>
      <c r="F6" s="16" t="s">
        <v>96</v>
      </c>
      <c r="G6" s="16" t="s">
        <v>97</v>
      </c>
      <c r="H6" s="16" t="s">
        <v>95</v>
      </c>
      <c r="I6" s="16" t="s">
        <v>96</v>
      </c>
      <c r="J6" s="16" t="s">
        <v>97</v>
      </c>
    </row>
    <row r="7" spans="1:13" ht="23.1" customHeight="1" x14ac:dyDescent="0.45">
      <c r="A7" s="52" t="s">
        <v>29</v>
      </c>
      <c r="B7" s="61" t="s">
        <v>98</v>
      </c>
      <c r="C7" s="62">
        <v>602800</v>
      </c>
      <c r="D7" s="62">
        <v>620</v>
      </c>
      <c r="E7" s="35">
        <v>0</v>
      </c>
      <c r="F7" s="35">
        <v>0</v>
      </c>
      <c r="G7" s="35">
        <v>0</v>
      </c>
      <c r="H7" s="62">
        <v>373736000</v>
      </c>
      <c r="I7" s="35">
        <v>0</v>
      </c>
      <c r="J7" s="62">
        <v>373736000</v>
      </c>
    </row>
    <row r="8" spans="1:13" ht="23.1" customHeight="1" x14ac:dyDescent="0.45">
      <c r="A8" s="52" t="s">
        <v>32</v>
      </c>
      <c r="B8" s="61" t="s">
        <v>99</v>
      </c>
      <c r="C8" s="62">
        <v>1450000</v>
      </c>
      <c r="D8" s="62">
        <v>510</v>
      </c>
      <c r="E8" s="35">
        <v>0</v>
      </c>
      <c r="F8" s="35">
        <v>0</v>
      </c>
      <c r="G8" s="35">
        <v>0</v>
      </c>
      <c r="H8" s="62">
        <v>739500000</v>
      </c>
      <c r="I8" s="35">
        <v>0</v>
      </c>
      <c r="J8" s="62">
        <v>739500000</v>
      </c>
    </row>
    <row r="9" spans="1:13" ht="23.1" customHeight="1" x14ac:dyDescent="0.45">
      <c r="A9" s="52" t="s">
        <v>107</v>
      </c>
      <c r="B9" s="61" t="s">
        <v>241</v>
      </c>
      <c r="C9" s="62">
        <v>20000</v>
      </c>
      <c r="D9" s="62">
        <v>9250</v>
      </c>
      <c r="E9" s="124">
        <v>0</v>
      </c>
      <c r="F9" s="124">
        <v>0</v>
      </c>
      <c r="G9" s="124">
        <v>0</v>
      </c>
      <c r="H9" s="62">
        <v>185000000</v>
      </c>
      <c r="I9" s="35">
        <v>0</v>
      </c>
      <c r="J9" s="62">
        <v>185000000</v>
      </c>
    </row>
    <row r="10" spans="1:13" ht="23.1" customHeight="1" x14ac:dyDescent="0.45">
      <c r="A10" s="52" t="s">
        <v>52</v>
      </c>
      <c r="B10" s="61" t="s">
        <v>265</v>
      </c>
      <c r="C10" s="62">
        <v>561046</v>
      </c>
      <c r="D10" s="62">
        <v>1875</v>
      </c>
      <c r="E10" s="35">
        <v>0</v>
      </c>
      <c r="F10" s="121">
        <v>20012798</v>
      </c>
      <c r="G10" s="35">
        <v>20012798</v>
      </c>
      <c r="H10" s="62">
        <v>1051961250</v>
      </c>
      <c r="I10" s="121">
        <v>-46156780</v>
      </c>
      <c r="J10" s="62">
        <v>1005804470</v>
      </c>
    </row>
    <row r="11" spans="1:13" ht="23.1" customHeight="1" x14ac:dyDescent="0.45">
      <c r="A11" s="52" t="s">
        <v>19</v>
      </c>
      <c r="B11" s="61" t="s">
        <v>266</v>
      </c>
      <c r="C11" s="62">
        <v>400000</v>
      </c>
      <c r="D11" s="62">
        <v>1500</v>
      </c>
      <c r="E11" s="35">
        <v>0</v>
      </c>
      <c r="F11" s="35">
        <v>0</v>
      </c>
      <c r="G11" s="35">
        <v>0</v>
      </c>
      <c r="H11" s="62">
        <v>600000000</v>
      </c>
      <c r="I11" s="35">
        <v>0</v>
      </c>
      <c r="J11" s="62">
        <v>600000000</v>
      </c>
    </row>
    <row r="12" spans="1:13" ht="23.1" customHeight="1" thickBot="1" x14ac:dyDescent="0.5">
      <c r="A12" s="52" t="s">
        <v>216</v>
      </c>
      <c r="B12" s="61" t="s">
        <v>272</v>
      </c>
      <c r="C12" s="62">
        <v>480000</v>
      </c>
      <c r="D12" s="62">
        <v>6800</v>
      </c>
      <c r="E12" s="35">
        <v>3264000000</v>
      </c>
      <c r="F12" s="121">
        <v>-253614656</v>
      </c>
      <c r="G12" s="35">
        <v>3010385344</v>
      </c>
      <c r="H12" s="62">
        <v>3264000000</v>
      </c>
      <c r="I12" s="121">
        <v>-253614656</v>
      </c>
      <c r="J12" s="62">
        <v>3010385344</v>
      </c>
    </row>
    <row r="13" spans="1:13" ht="23.1" customHeight="1" x14ac:dyDescent="0.45">
      <c r="A13" s="65" t="s">
        <v>60</v>
      </c>
      <c r="B13" s="66"/>
      <c r="C13" s="67"/>
      <c r="D13" s="67"/>
      <c r="E13" s="67">
        <f t="shared" ref="E13:J13" si="0">SUBTOTAL(109,E7:E12)</f>
        <v>3264000000</v>
      </c>
      <c r="F13" s="67">
        <f t="shared" si="0"/>
        <v>-233601858</v>
      </c>
      <c r="G13" s="67">
        <f t="shared" si="0"/>
        <v>3030398142</v>
      </c>
      <c r="H13" s="67">
        <f t="shared" si="0"/>
        <v>6214197250</v>
      </c>
      <c r="I13" s="67">
        <f t="shared" si="0"/>
        <v>-299771436</v>
      </c>
      <c r="J13" s="67">
        <f t="shared" si="0"/>
        <v>5914425814</v>
      </c>
    </row>
    <row r="14" spans="1:13" ht="23.1" customHeight="1" x14ac:dyDescent="0.45">
      <c r="A14" s="12" t="s">
        <v>61</v>
      </c>
      <c r="B14" s="18"/>
      <c r="C14" s="27"/>
      <c r="D14" s="27"/>
      <c r="E14" s="27"/>
      <c r="F14" s="27"/>
      <c r="G14" s="27"/>
      <c r="H14" s="27"/>
      <c r="I14" s="27"/>
      <c r="J14" s="27"/>
    </row>
  </sheetData>
  <mergeCells count="9">
    <mergeCell ref="K1:M1"/>
    <mergeCell ref="K2:M2"/>
    <mergeCell ref="K3:M3"/>
    <mergeCell ref="B5:D5"/>
    <mergeCell ref="E5:G5"/>
    <mergeCell ref="H5:J5"/>
    <mergeCell ref="A1:J1"/>
    <mergeCell ref="A2:J2"/>
    <mergeCell ref="A3:J3"/>
  </mergeCells>
  <pageMargins left="0.7" right="0.7" top="0.75" bottom="0.75" header="0.3" footer="0.3"/>
  <pageSetup paperSize="9" scale="78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58"/>
  <sheetViews>
    <sheetView rightToLeft="1" view="pageBreakPreview" zoomScaleNormal="100" zoomScaleSheetLayoutView="100" workbookViewId="0">
      <pane ySplit="6" topLeftCell="A7" activePane="bottomLeft" state="frozen"/>
      <selection pane="bottomLeft" activeCell="H26" sqref="H26"/>
    </sheetView>
  </sheetViews>
  <sheetFormatPr defaultColWidth="9" defaultRowHeight="19.5" x14ac:dyDescent="0.45"/>
  <cols>
    <col min="1" max="1" width="37.140625" style="26" bestFit="1" customWidth="1"/>
    <col min="2" max="2" width="13" style="26" customWidth="1"/>
    <col min="3" max="3" width="15.85546875" style="26" customWidth="1"/>
    <col min="4" max="4" width="17" style="26" customWidth="1"/>
    <col min="5" max="5" width="22.5703125" style="26" customWidth="1"/>
    <col min="6" max="6" width="13" style="26" customWidth="1"/>
    <col min="7" max="7" width="17" style="26" bestFit="1" customWidth="1"/>
    <col min="8" max="8" width="17" style="26" customWidth="1"/>
    <col min="9" max="9" width="22.5703125" style="26" customWidth="1"/>
    <col min="10" max="11" width="9" style="55"/>
    <col min="12" max="16384" width="9" style="1"/>
  </cols>
  <sheetData>
    <row r="1" spans="1:11" x14ac:dyDescent="0.45">
      <c r="A1" s="144" t="s">
        <v>0</v>
      </c>
      <c r="B1" s="144"/>
      <c r="C1" s="144"/>
      <c r="D1" s="144"/>
      <c r="E1" s="144"/>
      <c r="F1" s="144"/>
      <c r="G1" s="144"/>
      <c r="H1" s="144"/>
      <c r="I1" s="144"/>
    </row>
    <row r="2" spans="1:11" x14ac:dyDescent="0.45">
      <c r="A2" s="144" t="s">
        <v>76</v>
      </c>
      <c r="B2" s="144"/>
      <c r="C2" s="144"/>
      <c r="D2" s="144"/>
      <c r="E2" s="144"/>
      <c r="F2" s="144"/>
      <c r="G2" s="144"/>
      <c r="H2" s="144"/>
      <c r="I2" s="144"/>
    </row>
    <row r="3" spans="1:11" x14ac:dyDescent="0.45">
      <c r="A3" s="144" t="s">
        <v>271</v>
      </c>
      <c r="B3" s="144"/>
      <c r="C3" s="144"/>
      <c r="D3" s="144"/>
      <c r="E3" s="144"/>
      <c r="F3" s="144"/>
      <c r="G3" s="144"/>
      <c r="H3" s="144"/>
      <c r="I3" s="144"/>
    </row>
    <row r="4" spans="1:11" ht="21" x14ac:dyDescent="0.45">
      <c r="A4" s="148" t="s">
        <v>103</v>
      </c>
      <c r="B4" s="148"/>
      <c r="C4" s="148"/>
      <c r="D4" s="148"/>
      <c r="E4" s="148"/>
      <c r="F4" s="28"/>
      <c r="G4" s="28"/>
      <c r="H4" s="28"/>
      <c r="I4" s="28"/>
    </row>
    <row r="5" spans="1:11" ht="16.5" customHeight="1" thickBot="1" x14ac:dyDescent="0.5">
      <c r="A5" s="74"/>
      <c r="B5" s="155" t="s">
        <v>273</v>
      </c>
      <c r="C5" s="155"/>
      <c r="D5" s="155"/>
      <c r="E5" s="155"/>
      <c r="F5" s="155" t="s">
        <v>274</v>
      </c>
      <c r="G5" s="155"/>
      <c r="H5" s="155"/>
      <c r="I5" s="155"/>
    </row>
    <row r="6" spans="1:11" ht="20.25" thickBot="1" x14ac:dyDescent="0.5">
      <c r="A6" s="44" t="s">
        <v>78</v>
      </c>
      <c r="B6" s="44" t="s">
        <v>7</v>
      </c>
      <c r="C6" s="44" t="s">
        <v>104</v>
      </c>
      <c r="D6" s="44" t="s">
        <v>105</v>
      </c>
      <c r="E6" s="44" t="s">
        <v>106</v>
      </c>
      <c r="F6" s="44" t="s">
        <v>7</v>
      </c>
      <c r="G6" s="44" t="s">
        <v>9</v>
      </c>
      <c r="H6" s="44" t="s">
        <v>105</v>
      </c>
      <c r="I6" s="44" t="s">
        <v>106</v>
      </c>
    </row>
    <row r="7" spans="1:11" ht="23.1" customHeight="1" x14ac:dyDescent="0.45">
      <c r="A7" s="52" t="s">
        <v>28</v>
      </c>
      <c r="B7" s="35">
        <v>0</v>
      </c>
      <c r="C7" s="35">
        <v>0</v>
      </c>
      <c r="D7" s="35">
        <v>0</v>
      </c>
      <c r="E7" s="35">
        <f>Table12[[#This Row],[2241775012.0000]]+Table12[[#This Row],[-1852333773.0000]]</f>
        <v>0</v>
      </c>
      <c r="F7" s="62">
        <v>19983862</v>
      </c>
      <c r="G7" s="62">
        <v>30388850699</v>
      </c>
      <c r="H7" s="62">
        <v>-30217822107</v>
      </c>
      <c r="I7" s="62">
        <f>Table12[[#This Row],[Column7]]+Table12[[#This Row],[Column8]]</f>
        <v>171028592</v>
      </c>
      <c r="J7" s="55">
        <f>Table12[[#This Row],[2241775012.0000]]+Table12[[#This Row],[-1852333773.0000]]-Table12[[#This Row],[389441239.0000]]</f>
        <v>0</v>
      </c>
      <c r="K7" s="55">
        <f>Table12[[#This Row],[Column7]]+Table12[[#This Row],[Column8]]-Table12[[#This Row],[Column9]]</f>
        <v>0</v>
      </c>
    </row>
    <row r="8" spans="1:11" ht="23.1" customHeight="1" x14ac:dyDescent="0.45">
      <c r="A8" s="52" t="s">
        <v>115</v>
      </c>
      <c r="B8" s="35">
        <v>0</v>
      </c>
      <c r="C8" s="35">
        <v>0</v>
      </c>
      <c r="D8" s="35">
        <v>0</v>
      </c>
      <c r="E8" s="35">
        <f>Table12[[#This Row],[2241775012.0000]]+Table12[[#This Row],[-1852333773.0000]]</f>
        <v>0</v>
      </c>
      <c r="F8" s="62">
        <v>19672000</v>
      </c>
      <c r="G8" s="62">
        <v>9850400984</v>
      </c>
      <c r="H8" s="62">
        <v>-9066044927</v>
      </c>
      <c r="I8" s="62">
        <f>Table12[[#This Row],[Column7]]+Table12[[#This Row],[Column8]]</f>
        <v>784356057</v>
      </c>
      <c r="J8" s="55">
        <f>Table12[[#This Row],[2241775012.0000]]+Table12[[#This Row],[-1852333773.0000]]-Table12[[#This Row],[389441239.0000]]</f>
        <v>0</v>
      </c>
      <c r="K8" s="55">
        <f>Table12[[#This Row],[Column7]]+Table12[[#This Row],[Column8]]-Table12[[#This Row],[Column9]]</f>
        <v>0</v>
      </c>
    </row>
    <row r="9" spans="1:11" ht="23.1" customHeight="1" x14ac:dyDescent="0.45">
      <c r="A9" s="52" t="s">
        <v>31</v>
      </c>
      <c r="B9" s="35">
        <v>0</v>
      </c>
      <c r="C9" s="35">
        <v>0</v>
      </c>
      <c r="D9" s="35">
        <v>0</v>
      </c>
      <c r="E9" s="35">
        <f>Table12[[#This Row],[2241775012.0000]]+Table12[[#This Row],[-1852333773.0000]]</f>
        <v>0</v>
      </c>
      <c r="F9" s="62">
        <v>3773021</v>
      </c>
      <c r="G9" s="62">
        <v>56186358837</v>
      </c>
      <c r="H9" s="62">
        <v>-44569496394</v>
      </c>
      <c r="I9" s="62">
        <f>Table12[[#This Row],[Column7]]+Table12[[#This Row],[Column8]]</f>
        <v>11616862443</v>
      </c>
      <c r="J9" s="55">
        <f>Table12[[#This Row],[2241775012.0000]]+Table12[[#This Row],[-1852333773.0000]]-Table12[[#This Row],[389441239.0000]]</f>
        <v>0</v>
      </c>
      <c r="K9" s="55">
        <f>Table12[[#This Row],[Column7]]+Table12[[#This Row],[Column8]]-Table12[[#This Row],[Column9]]</f>
        <v>0</v>
      </c>
    </row>
    <row r="10" spans="1:11" ht="23.1" customHeight="1" x14ac:dyDescent="0.45">
      <c r="A10" s="52" t="s">
        <v>33</v>
      </c>
      <c r="B10" s="35">
        <v>0</v>
      </c>
      <c r="C10" s="35">
        <v>0</v>
      </c>
      <c r="D10" s="35">
        <v>0</v>
      </c>
      <c r="E10" s="35">
        <f>Table12[[#This Row],[2241775012.0000]]+Table12[[#This Row],[-1852333773.0000]]</f>
        <v>0</v>
      </c>
      <c r="F10" s="62">
        <v>2454923</v>
      </c>
      <c r="G10" s="62">
        <v>12716644164</v>
      </c>
      <c r="H10" s="62">
        <v>-12904796671</v>
      </c>
      <c r="I10" s="62">
        <f>Table12[[#This Row],[Column7]]+Table12[[#This Row],[Column8]]</f>
        <v>-188152507</v>
      </c>
      <c r="J10" s="55">
        <f>Table12[[#This Row],[2241775012.0000]]+Table12[[#This Row],[-1852333773.0000]]-Table12[[#This Row],[389441239.0000]]</f>
        <v>0</v>
      </c>
      <c r="K10" s="55">
        <f>Table12[[#This Row],[Column7]]+Table12[[#This Row],[Column8]]-Table12[[#This Row],[Column9]]</f>
        <v>0</v>
      </c>
    </row>
    <row r="11" spans="1:11" ht="23.1" customHeight="1" x14ac:dyDescent="0.45">
      <c r="A11" s="52" t="s">
        <v>36</v>
      </c>
      <c r="B11" s="35">
        <v>0</v>
      </c>
      <c r="C11" s="35">
        <v>0</v>
      </c>
      <c r="D11" s="35">
        <v>0</v>
      </c>
      <c r="E11" s="35">
        <f>Table12[[#This Row],[2241775012.0000]]+Table12[[#This Row],[-1852333773.0000]]</f>
        <v>0</v>
      </c>
      <c r="F11" s="62">
        <v>2600000</v>
      </c>
      <c r="G11" s="62">
        <v>22421866147</v>
      </c>
      <c r="H11" s="62">
        <v>-18564291102</v>
      </c>
      <c r="I11" s="62">
        <f>Table12[[#This Row],[Column7]]+Table12[[#This Row],[Column8]]</f>
        <v>3857575045</v>
      </c>
      <c r="J11" s="55">
        <f>Table12[[#This Row],[2241775012.0000]]+Table12[[#This Row],[-1852333773.0000]]-Table12[[#This Row],[389441239.0000]]</f>
        <v>0</v>
      </c>
      <c r="K11" s="55">
        <f>Table12[[#This Row],[Column7]]+Table12[[#This Row],[Column8]]-Table12[[#This Row],[Column9]]</f>
        <v>0</v>
      </c>
    </row>
    <row r="12" spans="1:11" ht="23.1" customHeight="1" x14ac:dyDescent="0.45">
      <c r="A12" s="52" t="s">
        <v>39</v>
      </c>
      <c r="B12" s="35">
        <v>0</v>
      </c>
      <c r="C12" s="35">
        <v>0</v>
      </c>
      <c r="D12" s="35">
        <v>0</v>
      </c>
      <c r="E12" s="35">
        <f>Table12[[#This Row],[2241775012.0000]]+Table12[[#This Row],[-1852333773.0000]]</f>
        <v>0</v>
      </c>
      <c r="F12" s="62">
        <v>6000000</v>
      </c>
      <c r="G12" s="62">
        <v>11427878803</v>
      </c>
      <c r="H12" s="62">
        <v>-10563360933</v>
      </c>
      <c r="I12" s="62">
        <f>Table12[[#This Row],[Column7]]+Table12[[#This Row],[Column8]]</f>
        <v>864517870</v>
      </c>
      <c r="J12" s="55">
        <f>Table12[[#This Row],[2241775012.0000]]+Table12[[#This Row],[-1852333773.0000]]-Table12[[#This Row],[389441239.0000]]</f>
        <v>0</v>
      </c>
      <c r="K12" s="55">
        <f>Table12[[#This Row],[Column7]]+Table12[[#This Row],[Column8]]-Table12[[#This Row],[Column9]]</f>
        <v>0</v>
      </c>
    </row>
    <row r="13" spans="1:11" ht="23.1" customHeight="1" x14ac:dyDescent="0.45">
      <c r="A13" s="52" t="s">
        <v>43</v>
      </c>
      <c r="B13" s="35">
        <v>0</v>
      </c>
      <c r="C13" s="35">
        <v>0</v>
      </c>
      <c r="D13" s="35">
        <v>0</v>
      </c>
      <c r="E13" s="35">
        <f>Table12[[#This Row],[2241775012.0000]]+Table12[[#This Row],[-1852333773.0000]]</f>
        <v>0</v>
      </c>
      <c r="F13" s="62">
        <v>1600000</v>
      </c>
      <c r="G13" s="62">
        <v>8752085562</v>
      </c>
      <c r="H13" s="62">
        <v>-6706610056</v>
      </c>
      <c r="I13" s="62">
        <f>Table12[[#This Row],[Column7]]+Table12[[#This Row],[Column8]]</f>
        <v>2045475506</v>
      </c>
      <c r="J13" s="55">
        <f>Table12[[#This Row],[2241775012.0000]]+Table12[[#This Row],[-1852333773.0000]]-Table12[[#This Row],[389441239.0000]]</f>
        <v>0</v>
      </c>
      <c r="K13" s="55">
        <f>Table12[[#This Row],[Column7]]+Table12[[#This Row],[Column8]]-Table12[[#This Row],[Column9]]</f>
        <v>0</v>
      </c>
    </row>
    <row r="14" spans="1:11" ht="23.1" customHeight="1" x14ac:dyDescent="0.45">
      <c r="A14" s="52" t="s">
        <v>151</v>
      </c>
      <c r="B14" s="35">
        <v>0</v>
      </c>
      <c r="C14" s="35">
        <v>0</v>
      </c>
      <c r="D14" s="35">
        <v>0</v>
      </c>
      <c r="E14" s="35">
        <f>Table12[[#This Row],[2241775012.0000]]+Table12[[#This Row],[-1852333773.0000]]</f>
        <v>0</v>
      </c>
      <c r="F14" s="62">
        <v>12000000</v>
      </c>
      <c r="G14" s="62">
        <v>23043886454</v>
      </c>
      <c r="H14" s="62">
        <v>-22175187389</v>
      </c>
      <c r="I14" s="62">
        <f>Table12[[#This Row],[Column7]]+Table12[[#This Row],[Column8]]</f>
        <v>868699065</v>
      </c>
      <c r="J14" s="55">
        <f>Table12[[#This Row],[2241775012.0000]]+Table12[[#This Row],[-1852333773.0000]]-Table12[[#This Row],[389441239.0000]]</f>
        <v>0</v>
      </c>
      <c r="K14" s="55">
        <f>Table12[[#This Row],[Column7]]+Table12[[#This Row],[Column8]]-Table12[[#This Row],[Column9]]</f>
        <v>0</v>
      </c>
    </row>
    <row r="15" spans="1:11" ht="23.1" customHeight="1" x14ac:dyDescent="0.45">
      <c r="A15" s="52" t="s">
        <v>49</v>
      </c>
      <c r="B15" s="35">
        <v>0</v>
      </c>
      <c r="C15" s="35">
        <v>0</v>
      </c>
      <c r="D15" s="35">
        <v>0</v>
      </c>
      <c r="E15" s="35">
        <f>Table12[[#This Row],[2241775012.0000]]+Table12[[#This Row],[-1852333773.0000]]</f>
        <v>0</v>
      </c>
      <c r="F15" s="62">
        <v>5800000</v>
      </c>
      <c r="G15" s="62">
        <v>13186324532</v>
      </c>
      <c r="H15" s="62">
        <v>-9837671542</v>
      </c>
      <c r="I15" s="62">
        <f>Table12[[#This Row],[Column7]]+Table12[[#This Row],[Column8]]</f>
        <v>3348652990</v>
      </c>
      <c r="J15" s="55">
        <f>Table12[[#This Row],[2241775012.0000]]+Table12[[#This Row],[-1852333773.0000]]-Table12[[#This Row],[389441239.0000]]</f>
        <v>0</v>
      </c>
      <c r="K15" s="55">
        <f>Table12[[#This Row],[Column7]]+Table12[[#This Row],[Column8]]-Table12[[#This Row],[Column9]]</f>
        <v>0</v>
      </c>
    </row>
    <row r="16" spans="1:11" ht="23.1" customHeight="1" x14ac:dyDescent="0.45">
      <c r="A16" s="52" t="s">
        <v>153</v>
      </c>
      <c r="B16" s="35">
        <v>0</v>
      </c>
      <c r="C16" s="35">
        <v>0</v>
      </c>
      <c r="D16" s="35">
        <v>0</v>
      </c>
      <c r="E16" s="35">
        <f>Table12[[#This Row],[2241775012.0000]]+Table12[[#This Row],[-1852333773.0000]]</f>
        <v>0</v>
      </c>
      <c r="F16" s="62">
        <v>454</v>
      </c>
      <c r="G16" s="62">
        <v>18452124</v>
      </c>
      <c r="H16" s="62">
        <v>-17070377</v>
      </c>
      <c r="I16" s="62">
        <f>Table12[[#This Row],[Column7]]+Table12[[#This Row],[Column8]]</f>
        <v>1381747</v>
      </c>
      <c r="J16" s="55">
        <f>Table12[[#This Row],[2241775012.0000]]+Table12[[#This Row],[-1852333773.0000]]-Table12[[#This Row],[389441239.0000]]</f>
        <v>0</v>
      </c>
      <c r="K16" s="55">
        <f>Table12[[#This Row],[Column7]]+Table12[[#This Row],[Column8]]-Table12[[#This Row],[Column9]]</f>
        <v>0</v>
      </c>
    </row>
    <row r="17" spans="1:11" ht="23.1" customHeight="1" x14ac:dyDescent="0.45">
      <c r="A17" s="52" t="s">
        <v>141</v>
      </c>
      <c r="B17" s="35">
        <v>0</v>
      </c>
      <c r="C17" s="35">
        <v>0</v>
      </c>
      <c r="D17" s="35">
        <v>0</v>
      </c>
      <c r="E17" s="35">
        <f>Table12[[#This Row],[2241775012.0000]]+Table12[[#This Row],[-1852333773.0000]]</f>
        <v>0</v>
      </c>
      <c r="F17" s="62">
        <v>6202000</v>
      </c>
      <c r="G17" s="62">
        <v>3092534477</v>
      </c>
      <c r="H17" s="62">
        <v>-3596400058</v>
      </c>
      <c r="I17" s="62">
        <f>Table12[[#This Row],[Column7]]+Table12[[#This Row],[Column8]]</f>
        <v>-503865581</v>
      </c>
      <c r="J17" s="55">
        <f>Table12[[#This Row],[2241775012.0000]]+Table12[[#This Row],[-1852333773.0000]]-Table12[[#This Row],[389441239.0000]]</f>
        <v>0</v>
      </c>
      <c r="K17" s="55">
        <f>Table12[[#This Row],[Column7]]+Table12[[#This Row],[Column8]]-Table12[[#This Row],[Column9]]</f>
        <v>0</v>
      </c>
    </row>
    <row r="18" spans="1:11" ht="23.1" customHeight="1" x14ac:dyDescent="0.45">
      <c r="A18" s="52" t="s">
        <v>42</v>
      </c>
      <c r="B18" s="35">
        <v>0</v>
      </c>
      <c r="C18" s="35">
        <v>0</v>
      </c>
      <c r="D18" s="35">
        <v>0</v>
      </c>
      <c r="E18" s="35">
        <f>Table12[[#This Row],[2241775012.0000]]+Table12[[#This Row],[-1852333773.0000]]</f>
        <v>0</v>
      </c>
      <c r="F18" s="62">
        <v>1300000</v>
      </c>
      <c r="G18" s="62">
        <v>20575616030</v>
      </c>
      <c r="H18" s="62">
        <v>-21550996408</v>
      </c>
      <c r="I18" s="62">
        <f>Table12[[#This Row],[Column7]]+Table12[[#This Row],[Column8]]</f>
        <v>-975380378</v>
      </c>
      <c r="J18" s="55">
        <f>Table12[[#This Row],[2241775012.0000]]+Table12[[#This Row],[-1852333773.0000]]-Table12[[#This Row],[389441239.0000]]</f>
        <v>0</v>
      </c>
      <c r="K18" s="55">
        <f>Table12[[#This Row],[Column7]]+Table12[[#This Row],[Column8]]-Table12[[#This Row],[Column9]]</f>
        <v>0</v>
      </c>
    </row>
    <row r="19" spans="1:11" ht="23.1" customHeight="1" x14ac:dyDescent="0.45">
      <c r="A19" s="52" t="s">
        <v>17</v>
      </c>
      <c r="B19" s="35">
        <v>0</v>
      </c>
      <c r="C19" s="35">
        <v>0</v>
      </c>
      <c r="D19" s="35">
        <v>0</v>
      </c>
      <c r="E19" s="35">
        <f>Table12[[#This Row],[2241775012.0000]]+Table12[[#This Row],[-1852333773.0000]]</f>
        <v>0</v>
      </c>
      <c r="F19" s="62">
        <v>86000</v>
      </c>
      <c r="G19" s="62">
        <v>10360113581</v>
      </c>
      <c r="H19" s="62">
        <v>-9496882346</v>
      </c>
      <c r="I19" s="62">
        <f>Table12[[#This Row],[Column7]]+Table12[[#This Row],[Column8]]</f>
        <v>863231235</v>
      </c>
      <c r="J19" s="55">
        <f>Table12[[#This Row],[2241775012.0000]]+Table12[[#This Row],[-1852333773.0000]]-Table12[[#This Row],[389441239.0000]]</f>
        <v>0</v>
      </c>
      <c r="K19" s="55">
        <f>Table12[[#This Row],[Column7]]+Table12[[#This Row],[Column8]]-Table12[[#This Row],[Column9]]</f>
        <v>0</v>
      </c>
    </row>
    <row r="20" spans="1:11" ht="23.1" customHeight="1" x14ac:dyDescent="0.45">
      <c r="A20" s="52" t="s">
        <v>41</v>
      </c>
      <c r="B20" s="35">
        <v>0</v>
      </c>
      <c r="C20" s="35">
        <v>0</v>
      </c>
      <c r="D20" s="35">
        <v>0</v>
      </c>
      <c r="E20" s="35">
        <f>Table12[[#This Row],[2241775012.0000]]+Table12[[#This Row],[-1852333773.0000]]</f>
        <v>0</v>
      </c>
      <c r="F20" s="62">
        <v>88171</v>
      </c>
      <c r="G20" s="62">
        <v>4414593225</v>
      </c>
      <c r="H20" s="62">
        <v>-4358547162</v>
      </c>
      <c r="I20" s="62">
        <f>Table12[[#This Row],[Column7]]+Table12[[#This Row],[Column8]]</f>
        <v>56046063</v>
      </c>
      <c r="J20" s="55">
        <f>Table12[[#This Row],[2241775012.0000]]+Table12[[#This Row],[-1852333773.0000]]-Table12[[#This Row],[389441239.0000]]</f>
        <v>0</v>
      </c>
      <c r="K20" s="55">
        <f>Table12[[#This Row],[Column7]]+Table12[[#This Row],[Column8]]-Table12[[#This Row],[Column9]]</f>
        <v>0</v>
      </c>
    </row>
    <row r="21" spans="1:11" ht="23.1" customHeight="1" x14ac:dyDescent="0.45">
      <c r="A21" s="52" t="s">
        <v>27</v>
      </c>
      <c r="B21" s="35">
        <v>0</v>
      </c>
      <c r="C21" s="35">
        <v>0</v>
      </c>
      <c r="D21" s="35">
        <v>0</v>
      </c>
      <c r="E21" s="35">
        <f>Table12[[#This Row],[2241775012.0000]]+Table12[[#This Row],[-1852333773.0000]]</f>
        <v>0</v>
      </c>
      <c r="F21" s="62">
        <v>352336</v>
      </c>
      <c r="G21" s="62">
        <v>860340640</v>
      </c>
      <c r="H21" s="62">
        <v>-811477480</v>
      </c>
      <c r="I21" s="62">
        <f>Table12[[#This Row],[Column7]]+Table12[[#This Row],[Column8]]</f>
        <v>48863160</v>
      </c>
      <c r="J21" s="55">
        <f>Table12[[#This Row],[2241775012.0000]]+Table12[[#This Row],[-1852333773.0000]]-Table12[[#This Row],[389441239.0000]]</f>
        <v>0</v>
      </c>
      <c r="K21" s="55">
        <f>Table12[[#This Row],[Column7]]+Table12[[#This Row],[Column8]]-Table12[[#This Row],[Column9]]</f>
        <v>0</v>
      </c>
    </row>
    <row r="22" spans="1:11" ht="23.1" customHeight="1" x14ac:dyDescent="0.45">
      <c r="A22" s="52" t="s">
        <v>26</v>
      </c>
      <c r="B22" s="35">
        <v>0</v>
      </c>
      <c r="C22" s="35">
        <v>0</v>
      </c>
      <c r="D22" s="35">
        <v>0</v>
      </c>
      <c r="E22" s="35">
        <f>Table12[[#This Row],[2241775012.0000]]+Table12[[#This Row],[-1852333773.0000]]</f>
        <v>0</v>
      </c>
      <c r="F22" s="62">
        <v>2200000</v>
      </c>
      <c r="G22" s="62">
        <v>15262712477</v>
      </c>
      <c r="H22" s="62">
        <v>-13743106051</v>
      </c>
      <c r="I22" s="62">
        <f>Table12[[#This Row],[Column7]]+Table12[[#This Row],[Column8]]</f>
        <v>1519606426</v>
      </c>
      <c r="J22" s="55">
        <f>Table12[[#This Row],[2241775012.0000]]+Table12[[#This Row],[-1852333773.0000]]-Table12[[#This Row],[389441239.0000]]</f>
        <v>0</v>
      </c>
      <c r="K22" s="55">
        <f>Table12[[#This Row],[Column7]]+Table12[[#This Row],[Column8]]-Table12[[#This Row],[Column9]]</f>
        <v>0</v>
      </c>
    </row>
    <row r="23" spans="1:11" ht="23.1" customHeight="1" x14ac:dyDescent="0.45">
      <c r="A23" s="52" t="s">
        <v>48</v>
      </c>
      <c r="B23" s="35">
        <v>0</v>
      </c>
      <c r="C23" s="35">
        <v>0</v>
      </c>
      <c r="D23" s="35">
        <v>0</v>
      </c>
      <c r="E23" s="35">
        <f>Table12[[#This Row],[2241775012.0000]]+Table12[[#This Row],[-1852333773.0000]]</f>
        <v>0</v>
      </c>
      <c r="F23" s="62">
        <v>509263</v>
      </c>
      <c r="G23" s="62">
        <v>18497746242</v>
      </c>
      <c r="H23" s="62">
        <v>-14419502035</v>
      </c>
      <c r="I23" s="62">
        <f>Table12[[#This Row],[Column7]]+Table12[[#This Row],[Column8]]</f>
        <v>4078244207</v>
      </c>
      <c r="J23" s="55">
        <f>Table12[[#This Row],[2241775012.0000]]+Table12[[#This Row],[-1852333773.0000]]-Table12[[#This Row],[389441239.0000]]</f>
        <v>0</v>
      </c>
      <c r="K23" s="55">
        <f>Table12[[#This Row],[Column7]]+Table12[[#This Row],[Column8]]-Table12[[#This Row],[Column9]]</f>
        <v>0</v>
      </c>
    </row>
    <row r="24" spans="1:11" ht="23.1" customHeight="1" x14ac:dyDescent="0.45">
      <c r="A24" s="52" t="s">
        <v>108</v>
      </c>
      <c r="B24" s="35">
        <v>0</v>
      </c>
      <c r="C24" s="35">
        <v>0</v>
      </c>
      <c r="D24" s="35">
        <v>0</v>
      </c>
      <c r="E24" s="35">
        <f>Table12[[#This Row],[2241775012.0000]]+Table12[[#This Row],[-1852333773.0000]]</f>
        <v>0</v>
      </c>
      <c r="F24" s="62">
        <v>2283</v>
      </c>
      <c r="G24" s="62">
        <v>12187103</v>
      </c>
      <c r="H24" s="62">
        <v>-11602869</v>
      </c>
      <c r="I24" s="62">
        <f>Table12[[#This Row],[Column7]]+Table12[[#This Row],[Column8]]</f>
        <v>584234</v>
      </c>
      <c r="J24" s="55">
        <f>Table12[[#This Row],[2241775012.0000]]+Table12[[#This Row],[-1852333773.0000]]-Table12[[#This Row],[389441239.0000]]</f>
        <v>0</v>
      </c>
      <c r="K24" s="55">
        <f>Table12[[#This Row],[Column7]]+Table12[[#This Row],[Column8]]-Table12[[#This Row],[Column9]]</f>
        <v>0</v>
      </c>
    </row>
    <row r="25" spans="1:11" ht="23.1" customHeight="1" x14ac:dyDescent="0.45">
      <c r="A25" s="52" t="s">
        <v>45</v>
      </c>
      <c r="B25" s="35">
        <v>0</v>
      </c>
      <c r="C25" s="35">
        <v>0</v>
      </c>
      <c r="D25" s="35">
        <v>0</v>
      </c>
      <c r="E25" s="35">
        <f>Table12[[#This Row],[2241775012.0000]]+Table12[[#This Row],[-1852333773.0000]]</f>
        <v>0</v>
      </c>
      <c r="F25" s="62">
        <v>800000</v>
      </c>
      <c r="G25" s="62">
        <v>14360019287</v>
      </c>
      <c r="H25" s="62">
        <v>-11391439789</v>
      </c>
      <c r="I25" s="62">
        <f>Table12[[#This Row],[Column7]]+Table12[[#This Row],[Column8]]</f>
        <v>2968579498</v>
      </c>
      <c r="J25" s="55">
        <f>Table12[[#This Row],[2241775012.0000]]+Table12[[#This Row],[-1852333773.0000]]-Table12[[#This Row],[389441239.0000]]</f>
        <v>0</v>
      </c>
      <c r="K25" s="55">
        <f>Table12[[#This Row],[Column7]]+Table12[[#This Row],[Column8]]-Table12[[#This Row],[Column9]]</f>
        <v>0</v>
      </c>
    </row>
    <row r="26" spans="1:11" ht="23.1" customHeight="1" x14ac:dyDescent="0.45">
      <c r="A26" s="52" t="s">
        <v>46</v>
      </c>
      <c r="B26" s="35">
        <v>0</v>
      </c>
      <c r="C26" s="35">
        <v>0</v>
      </c>
      <c r="D26" s="35">
        <v>0</v>
      </c>
      <c r="E26" s="35">
        <f>Table12[[#This Row],[2241775012.0000]]+Table12[[#This Row],[-1852333773.0000]]</f>
        <v>0</v>
      </c>
      <c r="F26" s="62">
        <v>2300000</v>
      </c>
      <c r="G26" s="62">
        <v>19590269122</v>
      </c>
      <c r="H26" s="62">
        <v>-13050820485</v>
      </c>
      <c r="I26" s="62">
        <f>Table12[[#This Row],[Column7]]+Table12[[#This Row],[Column8]]</f>
        <v>6539448637</v>
      </c>
      <c r="J26" s="55">
        <f>Table12[[#This Row],[2241775012.0000]]+Table12[[#This Row],[-1852333773.0000]]-Table12[[#This Row],[389441239.0000]]</f>
        <v>0</v>
      </c>
      <c r="K26" s="55">
        <f>Table12[[#This Row],[Column7]]+Table12[[#This Row],[Column8]]-Table12[[#This Row],[Column9]]</f>
        <v>0</v>
      </c>
    </row>
    <row r="27" spans="1:11" ht="23.1" customHeight="1" x14ac:dyDescent="0.45">
      <c r="A27" s="52" t="s">
        <v>148</v>
      </c>
      <c r="B27" s="35">
        <v>0</v>
      </c>
      <c r="C27" s="35">
        <v>0</v>
      </c>
      <c r="D27" s="35">
        <v>0</v>
      </c>
      <c r="E27" s="35">
        <f>Table12[[#This Row],[2241775012.0000]]+Table12[[#This Row],[-1852333773.0000]]</f>
        <v>0</v>
      </c>
      <c r="F27" s="62">
        <v>40171853</v>
      </c>
      <c r="G27" s="62">
        <v>17205161584</v>
      </c>
      <c r="H27" s="62">
        <v>-22784456875</v>
      </c>
      <c r="I27" s="62">
        <f>Table12[[#This Row],[Column7]]+Table12[[#This Row],[Column8]]</f>
        <v>-5579295291</v>
      </c>
      <c r="J27" s="55">
        <f>Table12[[#This Row],[2241775012.0000]]+Table12[[#This Row],[-1852333773.0000]]-Table12[[#This Row],[389441239.0000]]</f>
        <v>0</v>
      </c>
      <c r="K27" s="55">
        <f>Table12[[#This Row],[Column7]]+Table12[[#This Row],[Column8]]-Table12[[#This Row],[Column9]]</f>
        <v>0</v>
      </c>
    </row>
    <row r="28" spans="1:11" ht="23.1" customHeight="1" x14ac:dyDescent="0.45">
      <c r="A28" s="52" t="s">
        <v>146</v>
      </c>
      <c r="B28" s="35">
        <v>0</v>
      </c>
      <c r="C28" s="35">
        <v>0</v>
      </c>
      <c r="D28" s="35">
        <v>0</v>
      </c>
      <c r="E28" s="35">
        <f>Table12[[#This Row],[2241775012.0000]]+Table12[[#This Row],[-1852333773.0000]]</f>
        <v>0</v>
      </c>
      <c r="F28" s="62">
        <v>900000</v>
      </c>
      <c r="G28" s="62">
        <v>17143062552</v>
      </c>
      <c r="H28" s="62">
        <v>-15913625201</v>
      </c>
      <c r="I28" s="62">
        <f>Table12[[#This Row],[Column7]]+Table12[[#This Row],[Column8]]</f>
        <v>1229437351</v>
      </c>
      <c r="J28" s="55">
        <f>Table12[[#This Row],[2241775012.0000]]+Table12[[#This Row],[-1852333773.0000]]-Table12[[#This Row],[389441239.0000]]</f>
        <v>0</v>
      </c>
      <c r="K28" s="55">
        <f>Table12[[#This Row],[Column7]]+Table12[[#This Row],[Column8]]-Table12[[#This Row],[Column9]]</f>
        <v>0</v>
      </c>
    </row>
    <row r="29" spans="1:11" ht="23.1" customHeight="1" x14ac:dyDescent="0.45">
      <c r="A29" s="52" t="s">
        <v>47</v>
      </c>
      <c r="B29" s="35">
        <v>0</v>
      </c>
      <c r="C29" s="35">
        <v>0</v>
      </c>
      <c r="D29" s="35">
        <v>0</v>
      </c>
      <c r="E29" s="35">
        <f>Table12[[#This Row],[2241775012.0000]]+Table12[[#This Row],[-1852333773.0000]]</f>
        <v>0</v>
      </c>
      <c r="F29" s="62">
        <v>555000</v>
      </c>
      <c r="G29" s="62">
        <v>14398424361</v>
      </c>
      <c r="H29" s="62">
        <v>-9435318881</v>
      </c>
      <c r="I29" s="62">
        <f>Table12[[#This Row],[Column7]]+Table12[[#This Row],[Column8]]</f>
        <v>4963105480</v>
      </c>
      <c r="J29" s="55">
        <f>Table12[[#This Row],[2241775012.0000]]+Table12[[#This Row],[-1852333773.0000]]-Table12[[#This Row],[389441239.0000]]</f>
        <v>0</v>
      </c>
      <c r="K29" s="55">
        <f>Table12[[#This Row],[Column7]]+Table12[[#This Row],[Column8]]-Table12[[#This Row],[Column9]]</f>
        <v>0</v>
      </c>
    </row>
    <row r="30" spans="1:11" ht="23.1" customHeight="1" x14ac:dyDescent="0.45">
      <c r="A30" s="52" t="s">
        <v>54</v>
      </c>
      <c r="B30" s="35">
        <v>0</v>
      </c>
      <c r="C30" s="35">
        <v>0</v>
      </c>
      <c r="D30" s="35">
        <v>0</v>
      </c>
      <c r="E30" s="35">
        <f>Table12[[#This Row],[2241775012.0000]]+Table12[[#This Row],[-1852333773.0000]]</f>
        <v>0</v>
      </c>
      <c r="F30" s="62">
        <v>11470398</v>
      </c>
      <c r="G30" s="62">
        <v>16171638282</v>
      </c>
      <c r="H30" s="62">
        <v>-15579463229</v>
      </c>
      <c r="I30" s="62">
        <f>Table12[[#This Row],[Column7]]+Table12[[#This Row],[Column8]]</f>
        <v>592175053</v>
      </c>
      <c r="J30" s="55">
        <f>Table12[[#This Row],[2241775012.0000]]+Table12[[#This Row],[-1852333773.0000]]-Table12[[#This Row],[389441239.0000]]</f>
        <v>0</v>
      </c>
      <c r="K30" s="55">
        <f>Table12[[#This Row],[Column7]]+Table12[[#This Row],[Column8]]-Table12[[#This Row],[Column9]]</f>
        <v>0</v>
      </c>
    </row>
    <row r="31" spans="1:11" ht="23.1" customHeight="1" x14ac:dyDescent="0.45">
      <c r="A31" s="52" t="s">
        <v>51</v>
      </c>
      <c r="B31" s="35">
        <v>0</v>
      </c>
      <c r="C31" s="35">
        <v>0</v>
      </c>
      <c r="D31" s="35">
        <v>0</v>
      </c>
      <c r="E31" s="35">
        <f>Table12[[#This Row],[2241775012.0000]]+Table12[[#This Row],[-1852333773.0000]]</f>
        <v>0</v>
      </c>
      <c r="F31" s="62">
        <v>2280660</v>
      </c>
      <c r="G31" s="62">
        <v>6905870590</v>
      </c>
      <c r="H31" s="62">
        <v>-6287041246</v>
      </c>
      <c r="I31" s="62">
        <f>Table12[[#This Row],[Column7]]+Table12[[#This Row],[Column8]]</f>
        <v>618829344</v>
      </c>
      <c r="J31" s="55">
        <f>Table12[[#This Row],[2241775012.0000]]+Table12[[#This Row],[-1852333773.0000]]-Table12[[#This Row],[389441239.0000]]</f>
        <v>0</v>
      </c>
      <c r="K31" s="55">
        <f>Table12[[#This Row],[Column7]]+Table12[[#This Row],[Column8]]-Table12[[#This Row],[Column9]]</f>
        <v>0</v>
      </c>
    </row>
    <row r="32" spans="1:11" ht="23.1" customHeight="1" x14ac:dyDescent="0.45">
      <c r="A32" s="52" t="s">
        <v>53</v>
      </c>
      <c r="B32" s="35">
        <v>0</v>
      </c>
      <c r="C32" s="35">
        <v>0</v>
      </c>
      <c r="D32" s="35">
        <v>0</v>
      </c>
      <c r="E32" s="35">
        <f>Table12[[#This Row],[2241775012.0000]]+Table12[[#This Row],[-1852333773.0000]]</f>
        <v>0</v>
      </c>
      <c r="F32" s="62">
        <v>2767213</v>
      </c>
      <c r="G32" s="62">
        <v>10267775246</v>
      </c>
      <c r="H32" s="62">
        <v>-6546813300</v>
      </c>
      <c r="I32" s="62">
        <f>Table12[[#This Row],[Column7]]+Table12[[#This Row],[Column8]]</f>
        <v>3720961946</v>
      </c>
      <c r="J32" s="55">
        <f>Table12[[#This Row],[2241775012.0000]]+Table12[[#This Row],[-1852333773.0000]]-Table12[[#This Row],[389441239.0000]]</f>
        <v>0</v>
      </c>
      <c r="K32" s="55">
        <f>Table12[[#This Row],[Column7]]+Table12[[#This Row],[Column8]]-Table12[[#This Row],[Column9]]</f>
        <v>0</v>
      </c>
    </row>
    <row r="33" spans="1:11" ht="23.1" customHeight="1" x14ac:dyDescent="0.45">
      <c r="A33" s="52" t="s">
        <v>56</v>
      </c>
      <c r="B33" s="35">
        <v>0</v>
      </c>
      <c r="C33" s="35">
        <v>0</v>
      </c>
      <c r="D33" s="35">
        <v>0</v>
      </c>
      <c r="E33" s="35">
        <f>Table12[[#This Row],[2241775012.0000]]+Table12[[#This Row],[-1852333773.0000]]</f>
        <v>0</v>
      </c>
      <c r="F33" s="62">
        <v>2000000</v>
      </c>
      <c r="G33" s="62">
        <v>12230631815</v>
      </c>
      <c r="H33" s="62">
        <v>-12561990138</v>
      </c>
      <c r="I33" s="62">
        <f>Table12[[#This Row],[Column7]]+Table12[[#This Row],[Column8]]</f>
        <v>-331358323</v>
      </c>
      <c r="J33" s="55">
        <f>Table12[[#This Row],[2241775012.0000]]+Table12[[#This Row],[-1852333773.0000]]-Table12[[#This Row],[389441239.0000]]</f>
        <v>0</v>
      </c>
      <c r="K33" s="55">
        <f>Table12[[#This Row],[Column7]]+Table12[[#This Row],[Column8]]-Table12[[#This Row],[Column9]]</f>
        <v>0</v>
      </c>
    </row>
    <row r="34" spans="1:11" ht="23.1" customHeight="1" x14ac:dyDescent="0.45">
      <c r="A34" s="52" t="s">
        <v>32</v>
      </c>
      <c r="B34" s="35">
        <v>0</v>
      </c>
      <c r="C34" s="35">
        <v>0</v>
      </c>
      <c r="D34" s="35">
        <v>0</v>
      </c>
      <c r="E34" s="35">
        <f>Table12[[#This Row],[2241775012.0000]]+Table12[[#This Row],[-1852333773.0000]]</f>
        <v>0</v>
      </c>
      <c r="F34" s="62">
        <v>1650000</v>
      </c>
      <c r="G34" s="62">
        <v>17008528729</v>
      </c>
      <c r="H34" s="62">
        <v>-12026209922</v>
      </c>
      <c r="I34" s="62">
        <f>Table12[[#This Row],[Column7]]+Table12[[#This Row],[Column8]]</f>
        <v>4982318807</v>
      </c>
      <c r="J34" s="55">
        <f>Table12[[#This Row],[2241775012.0000]]+Table12[[#This Row],[-1852333773.0000]]-Table12[[#This Row],[389441239.0000]]</f>
        <v>0</v>
      </c>
      <c r="K34" s="55">
        <f>Table12[[#This Row],[Column7]]+Table12[[#This Row],[Column8]]-Table12[[#This Row],[Column9]]</f>
        <v>0</v>
      </c>
    </row>
    <row r="35" spans="1:11" ht="23.1" customHeight="1" x14ac:dyDescent="0.45">
      <c r="A35" s="52" t="s">
        <v>40</v>
      </c>
      <c r="B35" s="35">
        <v>0</v>
      </c>
      <c r="C35" s="35">
        <v>0</v>
      </c>
      <c r="D35" s="35">
        <v>0</v>
      </c>
      <c r="E35" s="35">
        <f>Table12[[#This Row],[2241775012.0000]]+Table12[[#This Row],[-1852333773.0000]]</f>
        <v>0</v>
      </c>
      <c r="F35" s="62">
        <v>979680</v>
      </c>
      <c r="G35" s="62">
        <v>13580699879</v>
      </c>
      <c r="H35" s="62">
        <v>-10175798416</v>
      </c>
      <c r="I35" s="62">
        <f>Table12[[#This Row],[Column7]]+Table12[[#This Row],[Column8]]</f>
        <v>3404901463</v>
      </c>
      <c r="J35" s="55">
        <f>Table12[[#This Row],[2241775012.0000]]+Table12[[#This Row],[-1852333773.0000]]-Table12[[#This Row],[389441239.0000]]</f>
        <v>0</v>
      </c>
      <c r="K35" s="55">
        <f>Table12[[#This Row],[Column7]]+Table12[[#This Row],[Column8]]-Table12[[#This Row],[Column9]]</f>
        <v>0</v>
      </c>
    </row>
    <row r="36" spans="1:11" ht="23.1" customHeight="1" x14ac:dyDescent="0.45">
      <c r="A36" s="52" t="s">
        <v>111</v>
      </c>
      <c r="B36" s="35">
        <v>0</v>
      </c>
      <c r="C36" s="35">
        <v>0</v>
      </c>
      <c r="D36" s="35">
        <v>0</v>
      </c>
      <c r="E36" s="35">
        <f>Table12[[#This Row],[2241775012.0000]]+Table12[[#This Row],[-1852333773.0000]]</f>
        <v>0</v>
      </c>
      <c r="F36" s="62">
        <v>329397</v>
      </c>
      <c r="G36" s="62">
        <v>9331427961</v>
      </c>
      <c r="H36" s="62">
        <v>-7243403431</v>
      </c>
      <c r="I36" s="62">
        <f>Table12[[#This Row],[Column7]]+Table12[[#This Row],[Column8]]</f>
        <v>2088024530</v>
      </c>
      <c r="J36" s="55">
        <f>Table12[[#This Row],[2241775012.0000]]+Table12[[#This Row],[-1852333773.0000]]-Table12[[#This Row],[389441239.0000]]</f>
        <v>0</v>
      </c>
      <c r="K36" s="55">
        <f>Table12[[#This Row],[Column7]]+Table12[[#This Row],[Column8]]-Table12[[#This Row],[Column9]]</f>
        <v>0</v>
      </c>
    </row>
    <row r="37" spans="1:11" ht="23.1" customHeight="1" x14ac:dyDescent="0.45">
      <c r="A37" s="52" t="s">
        <v>152</v>
      </c>
      <c r="B37" s="35">
        <v>0</v>
      </c>
      <c r="C37" s="35">
        <v>0</v>
      </c>
      <c r="D37" s="35">
        <v>0</v>
      </c>
      <c r="E37" s="35">
        <f>Table12[[#This Row],[2241775012.0000]]+Table12[[#This Row],[-1852333773.0000]]</f>
        <v>0</v>
      </c>
      <c r="F37" s="62">
        <v>800000</v>
      </c>
      <c r="G37" s="62">
        <v>10264040908</v>
      </c>
      <c r="H37" s="62">
        <v>-10352098673</v>
      </c>
      <c r="I37" s="62">
        <f>Table12[[#This Row],[Column7]]+Table12[[#This Row],[Column8]]</f>
        <v>-88057765</v>
      </c>
      <c r="J37" s="55">
        <f>Table12[[#This Row],[2241775012.0000]]+Table12[[#This Row],[-1852333773.0000]]-Table12[[#This Row],[389441239.0000]]</f>
        <v>0</v>
      </c>
      <c r="K37" s="55">
        <f>Table12[[#This Row],[Column7]]+Table12[[#This Row],[Column8]]-Table12[[#This Row],[Column9]]</f>
        <v>0</v>
      </c>
    </row>
    <row r="38" spans="1:11" ht="23.1" customHeight="1" x14ac:dyDescent="0.45">
      <c r="A38" s="52" t="s">
        <v>37</v>
      </c>
      <c r="B38" s="35">
        <v>0</v>
      </c>
      <c r="C38" s="35">
        <v>0</v>
      </c>
      <c r="D38" s="35">
        <v>0</v>
      </c>
      <c r="E38" s="35">
        <f>Table12[[#This Row],[2241775012.0000]]+Table12[[#This Row],[-1852333773.0000]]</f>
        <v>0</v>
      </c>
      <c r="F38" s="62">
        <v>572357</v>
      </c>
      <c r="G38" s="62">
        <v>34732792287</v>
      </c>
      <c r="H38" s="62">
        <v>-20843714115</v>
      </c>
      <c r="I38" s="62">
        <f>Table12[[#This Row],[Column7]]+Table12[[#This Row],[Column8]]</f>
        <v>13889078172</v>
      </c>
      <c r="J38" s="55">
        <f>Table12[[#This Row],[2241775012.0000]]+Table12[[#This Row],[-1852333773.0000]]-Table12[[#This Row],[389441239.0000]]</f>
        <v>0</v>
      </c>
      <c r="K38" s="55">
        <f>Table12[[#This Row],[Column7]]+Table12[[#This Row],[Column8]]-Table12[[#This Row],[Column9]]</f>
        <v>0</v>
      </c>
    </row>
    <row r="39" spans="1:11" ht="23.1" customHeight="1" x14ac:dyDescent="0.45">
      <c r="A39" s="52" t="s">
        <v>30</v>
      </c>
      <c r="B39" s="35">
        <v>0</v>
      </c>
      <c r="C39" s="35">
        <v>0</v>
      </c>
      <c r="D39" s="35">
        <v>0</v>
      </c>
      <c r="E39" s="35">
        <f>Table12[[#This Row],[2241775012.0000]]+Table12[[#This Row],[-1852333773.0000]]</f>
        <v>0</v>
      </c>
      <c r="F39" s="62">
        <v>2420000</v>
      </c>
      <c r="G39" s="62">
        <v>12960673604</v>
      </c>
      <c r="H39" s="62">
        <v>-12280619286</v>
      </c>
      <c r="I39" s="62">
        <f>Table12[[#This Row],[Column7]]+Table12[[#This Row],[Column8]]</f>
        <v>680054318</v>
      </c>
      <c r="J39" s="55">
        <f>Table12[[#This Row],[2241775012.0000]]+Table12[[#This Row],[-1852333773.0000]]-Table12[[#This Row],[389441239.0000]]</f>
        <v>0</v>
      </c>
      <c r="K39" s="55">
        <f>Table12[[#This Row],[Column7]]+Table12[[#This Row],[Column8]]-Table12[[#This Row],[Column9]]</f>
        <v>0</v>
      </c>
    </row>
    <row r="40" spans="1:11" ht="23.1" customHeight="1" x14ac:dyDescent="0.45">
      <c r="A40" s="52" t="s">
        <v>25</v>
      </c>
      <c r="B40" s="35">
        <v>0</v>
      </c>
      <c r="C40" s="35">
        <v>0</v>
      </c>
      <c r="D40" s="35">
        <v>0</v>
      </c>
      <c r="E40" s="35">
        <f>Table12[[#This Row],[2241775012.0000]]+Table12[[#This Row],[-1852333773.0000]]</f>
        <v>0</v>
      </c>
      <c r="F40" s="62">
        <v>3221780</v>
      </c>
      <c r="G40" s="62">
        <v>22913174447</v>
      </c>
      <c r="H40" s="62">
        <v>-17379243352</v>
      </c>
      <c r="I40" s="62">
        <f>Table12[[#This Row],[Column7]]+Table12[[#This Row],[Column8]]</f>
        <v>5533931095</v>
      </c>
      <c r="J40" s="55">
        <f>Table12[[#This Row],[2241775012.0000]]+Table12[[#This Row],[-1852333773.0000]]-Table12[[#This Row],[389441239.0000]]</f>
        <v>0</v>
      </c>
      <c r="K40" s="55">
        <f>Table12[[#This Row],[Column7]]+Table12[[#This Row],[Column8]]-Table12[[#This Row],[Column9]]</f>
        <v>0</v>
      </c>
    </row>
    <row r="41" spans="1:11" ht="23.1" customHeight="1" x14ac:dyDescent="0.45">
      <c r="A41" s="52" t="s">
        <v>109</v>
      </c>
      <c r="B41" s="35">
        <v>0</v>
      </c>
      <c r="C41" s="35">
        <v>0</v>
      </c>
      <c r="D41" s="35">
        <v>0</v>
      </c>
      <c r="E41" s="35">
        <f>Table12[[#This Row],[2241775012.0000]]+Table12[[#This Row],[-1852333773.0000]]</f>
        <v>0</v>
      </c>
      <c r="F41" s="62">
        <v>3000000</v>
      </c>
      <c r="G41" s="62">
        <v>10177816758</v>
      </c>
      <c r="H41" s="62">
        <v>-9724200496</v>
      </c>
      <c r="I41" s="62">
        <f>Table12[[#This Row],[Column7]]+Table12[[#This Row],[Column8]]</f>
        <v>453616262</v>
      </c>
      <c r="J41" s="55">
        <f>Table12[[#This Row],[2241775012.0000]]+Table12[[#This Row],[-1852333773.0000]]-Table12[[#This Row],[389441239.0000]]</f>
        <v>0</v>
      </c>
      <c r="K41" s="55">
        <f>Table12[[#This Row],[Column7]]+Table12[[#This Row],[Column8]]-Table12[[#This Row],[Column9]]</f>
        <v>0</v>
      </c>
    </row>
    <row r="42" spans="1:11" ht="23.1" customHeight="1" x14ac:dyDescent="0.45">
      <c r="A42" s="52" t="s">
        <v>117</v>
      </c>
      <c r="B42" s="35">
        <v>0</v>
      </c>
      <c r="C42" s="35">
        <v>0</v>
      </c>
      <c r="D42" s="35">
        <v>0</v>
      </c>
      <c r="E42" s="35">
        <f>Table12[[#This Row],[2241775012.0000]]+Table12[[#This Row],[-1852333773.0000]]</f>
        <v>0</v>
      </c>
      <c r="F42" s="62">
        <v>3000000</v>
      </c>
      <c r="G42" s="62">
        <v>4258555910</v>
      </c>
      <c r="H42" s="62">
        <v>-3668044500</v>
      </c>
      <c r="I42" s="62">
        <f>Table12[[#This Row],[Column7]]+Table12[[#This Row],[Column8]]</f>
        <v>590511410</v>
      </c>
      <c r="J42" s="55">
        <f>Table12[[#This Row],[2241775012.0000]]+Table12[[#This Row],[-1852333773.0000]]-Table12[[#This Row],[389441239.0000]]</f>
        <v>0</v>
      </c>
      <c r="K42" s="55">
        <f>Table12[[#This Row],[Column7]]+Table12[[#This Row],[Column8]]-Table12[[#This Row],[Column9]]</f>
        <v>0</v>
      </c>
    </row>
    <row r="43" spans="1:11" ht="23.1" customHeight="1" x14ac:dyDescent="0.45">
      <c r="A43" s="52" t="s">
        <v>22</v>
      </c>
      <c r="B43" s="35">
        <v>0</v>
      </c>
      <c r="C43" s="35">
        <v>0</v>
      </c>
      <c r="D43" s="35">
        <v>0</v>
      </c>
      <c r="E43" s="35">
        <f>Table12[[#This Row],[2241775012.0000]]+Table12[[#This Row],[-1852333773.0000]]</f>
        <v>0</v>
      </c>
      <c r="F43" s="62">
        <v>200000</v>
      </c>
      <c r="G43" s="62">
        <v>1389181487</v>
      </c>
      <c r="H43" s="62">
        <v>-1141169400</v>
      </c>
      <c r="I43" s="62">
        <f>Table12[[#This Row],[Column7]]+Table12[[#This Row],[Column8]]</f>
        <v>248012087</v>
      </c>
      <c r="J43" s="55">
        <f>Table12[[#This Row],[2241775012.0000]]+Table12[[#This Row],[-1852333773.0000]]-Table12[[#This Row],[389441239.0000]]</f>
        <v>0</v>
      </c>
      <c r="K43" s="55">
        <f>Table12[[#This Row],[Column7]]+Table12[[#This Row],[Column8]]-Table12[[#This Row],[Column9]]</f>
        <v>0</v>
      </c>
    </row>
    <row r="44" spans="1:11" ht="23.1" customHeight="1" x14ac:dyDescent="0.45">
      <c r="A44" s="52" t="s">
        <v>50</v>
      </c>
      <c r="B44" s="35">
        <v>0</v>
      </c>
      <c r="C44" s="35">
        <v>0</v>
      </c>
      <c r="D44" s="35">
        <v>0</v>
      </c>
      <c r="E44" s="35">
        <f>Table12[[#This Row],[2241775012.0000]]+Table12[[#This Row],[-1852333773.0000]]</f>
        <v>0</v>
      </c>
      <c r="F44" s="62">
        <v>904830</v>
      </c>
      <c r="G44" s="62">
        <v>15040149419</v>
      </c>
      <c r="H44" s="62">
        <v>-9122141784</v>
      </c>
      <c r="I44" s="62">
        <f>Table12[[#This Row],[Column7]]+Table12[[#This Row],[Column8]]</f>
        <v>5918007635</v>
      </c>
      <c r="J44" s="55">
        <f>Table12[[#This Row],[2241775012.0000]]+Table12[[#This Row],[-1852333773.0000]]-Table12[[#This Row],[389441239.0000]]</f>
        <v>0</v>
      </c>
      <c r="K44" s="55">
        <f>Table12[[#This Row],[Column7]]+Table12[[#This Row],[Column8]]-Table12[[#This Row],[Column9]]</f>
        <v>0</v>
      </c>
    </row>
    <row r="45" spans="1:11" ht="23.1" customHeight="1" x14ac:dyDescent="0.45">
      <c r="A45" s="52" t="s">
        <v>59</v>
      </c>
      <c r="B45" s="35">
        <v>0</v>
      </c>
      <c r="C45" s="35">
        <v>0</v>
      </c>
      <c r="D45" s="35">
        <v>0</v>
      </c>
      <c r="E45" s="35">
        <f>Table12[[#This Row],[2241775012.0000]]+Table12[[#This Row],[-1852333773.0000]]</f>
        <v>0</v>
      </c>
      <c r="F45" s="62">
        <v>133750</v>
      </c>
      <c r="G45" s="62">
        <v>4869744100</v>
      </c>
      <c r="H45" s="62">
        <v>-3741491417</v>
      </c>
      <c r="I45" s="62">
        <f>Table12[[#This Row],[Column7]]+Table12[[#This Row],[Column8]]</f>
        <v>1128252683</v>
      </c>
      <c r="J45" s="55">
        <f>Table12[[#This Row],[2241775012.0000]]+Table12[[#This Row],[-1852333773.0000]]-Table12[[#This Row],[389441239.0000]]</f>
        <v>0</v>
      </c>
      <c r="K45" s="55">
        <f>Table12[[#This Row],[Column7]]+Table12[[#This Row],[Column8]]-Table12[[#This Row],[Column9]]</f>
        <v>0</v>
      </c>
    </row>
    <row r="46" spans="1:11" ht="23.1" customHeight="1" x14ac:dyDescent="0.45">
      <c r="A46" s="52" t="s">
        <v>38</v>
      </c>
      <c r="B46" s="35">
        <v>0</v>
      </c>
      <c r="C46" s="35">
        <v>0</v>
      </c>
      <c r="D46" s="35">
        <v>0</v>
      </c>
      <c r="E46" s="35">
        <f>Table12[[#This Row],[2241775012.0000]]+Table12[[#This Row],[-1852333773.0000]]</f>
        <v>0</v>
      </c>
      <c r="F46" s="62">
        <v>5920147</v>
      </c>
      <c r="G46" s="62">
        <v>17323743722</v>
      </c>
      <c r="H46" s="62">
        <v>-12702971234</v>
      </c>
      <c r="I46" s="62">
        <f>Table12[[#This Row],[Column7]]+Table12[[#This Row],[Column8]]</f>
        <v>4620772488</v>
      </c>
      <c r="J46" s="55">
        <f>Table12[[#This Row],[2241775012.0000]]+Table12[[#This Row],[-1852333773.0000]]-Table12[[#This Row],[389441239.0000]]</f>
        <v>0</v>
      </c>
      <c r="K46" s="55">
        <f>Table12[[#This Row],[Column7]]+Table12[[#This Row],[Column8]]-Table12[[#This Row],[Column9]]</f>
        <v>0</v>
      </c>
    </row>
    <row r="47" spans="1:11" ht="23.1" customHeight="1" x14ac:dyDescent="0.45">
      <c r="A47" s="52" t="s">
        <v>23</v>
      </c>
      <c r="B47" s="35">
        <v>0</v>
      </c>
      <c r="C47" s="35">
        <v>0</v>
      </c>
      <c r="D47" s="35">
        <v>0</v>
      </c>
      <c r="E47" s="35">
        <f>Table12[[#This Row],[2241775012.0000]]+Table12[[#This Row],[-1852333773.0000]]</f>
        <v>0</v>
      </c>
      <c r="F47" s="62">
        <v>344394</v>
      </c>
      <c r="G47" s="62">
        <v>26932658135</v>
      </c>
      <c r="H47" s="62">
        <v>-20877618750</v>
      </c>
      <c r="I47" s="62">
        <f>Table12[[#This Row],[Column7]]+Table12[[#This Row],[Column8]]</f>
        <v>6055039385</v>
      </c>
      <c r="J47" s="55">
        <f>Table12[[#This Row],[2241775012.0000]]+Table12[[#This Row],[-1852333773.0000]]-Table12[[#This Row],[389441239.0000]]</f>
        <v>0</v>
      </c>
      <c r="K47" s="55">
        <f>Table12[[#This Row],[Column7]]+Table12[[#This Row],[Column8]]-Table12[[#This Row],[Column9]]</f>
        <v>0</v>
      </c>
    </row>
    <row r="48" spans="1:11" ht="23.1" customHeight="1" x14ac:dyDescent="0.45">
      <c r="A48" s="52" t="s">
        <v>19</v>
      </c>
      <c r="B48" s="35">
        <v>0</v>
      </c>
      <c r="C48" s="35">
        <v>0</v>
      </c>
      <c r="D48" s="35">
        <v>0</v>
      </c>
      <c r="E48" s="35">
        <f>Table12[[#This Row],[2241775012.0000]]+Table12[[#This Row],[-1852333773.0000]]</f>
        <v>0</v>
      </c>
      <c r="F48" s="62">
        <v>891000</v>
      </c>
      <c r="G48" s="62">
        <v>12049297602</v>
      </c>
      <c r="H48" s="62">
        <v>-5382325715</v>
      </c>
      <c r="I48" s="62">
        <f>Table12[[#This Row],[Column7]]+Table12[[#This Row],[Column8]]</f>
        <v>6666971887</v>
      </c>
      <c r="J48" s="55">
        <f>Table12[[#This Row],[2241775012.0000]]+Table12[[#This Row],[-1852333773.0000]]-Table12[[#This Row],[389441239.0000]]</f>
        <v>0</v>
      </c>
      <c r="K48" s="55">
        <f>Table12[[#This Row],[Column7]]+Table12[[#This Row],[Column8]]-Table12[[#This Row],[Column9]]</f>
        <v>0</v>
      </c>
    </row>
    <row r="49" spans="1:11" ht="23.1" customHeight="1" x14ac:dyDescent="0.45">
      <c r="A49" s="52" t="s">
        <v>29</v>
      </c>
      <c r="B49" s="35">
        <v>0</v>
      </c>
      <c r="C49" s="35">
        <v>0</v>
      </c>
      <c r="D49" s="35">
        <v>0</v>
      </c>
      <c r="E49" s="35">
        <f>Table12[[#This Row],[2241775012.0000]]+Table12[[#This Row],[-1852333773.0000]]</f>
        <v>0</v>
      </c>
      <c r="F49" s="62">
        <v>902800</v>
      </c>
      <c r="G49" s="62">
        <v>12420068541</v>
      </c>
      <c r="H49" s="62">
        <v>-10950435241</v>
      </c>
      <c r="I49" s="62">
        <f>Table12[[#This Row],[Column7]]+Table12[[#This Row],[Column8]]</f>
        <v>1469633300</v>
      </c>
      <c r="J49" s="55">
        <f>Table12[[#This Row],[2241775012.0000]]+Table12[[#This Row],[-1852333773.0000]]-Table12[[#This Row],[389441239.0000]]</f>
        <v>0</v>
      </c>
      <c r="K49" s="55">
        <f>Table12[[#This Row],[Column7]]+Table12[[#This Row],[Column8]]-Table12[[#This Row],[Column9]]</f>
        <v>0</v>
      </c>
    </row>
    <row r="50" spans="1:11" ht="23.1" customHeight="1" x14ac:dyDescent="0.45">
      <c r="A50" s="52" t="s">
        <v>113</v>
      </c>
      <c r="B50" s="35">
        <v>0</v>
      </c>
      <c r="C50" s="35">
        <v>0</v>
      </c>
      <c r="D50" s="35">
        <v>0</v>
      </c>
      <c r="E50" s="35">
        <f>Table12[[#This Row],[2241775012.0000]]+Table12[[#This Row],[-1852333773.0000]]</f>
        <v>0</v>
      </c>
      <c r="F50" s="62">
        <v>1500000</v>
      </c>
      <c r="G50" s="62">
        <v>6995355181</v>
      </c>
      <c r="H50" s="62">
        <v>-6038853750</v>
      </c>
      <c r="I50" s="62">
        <f>Table12[[#This Row],[Column7]]+Table12[[#This Row],[Column8]]</f>
        <v>956501431</v>
      </c>
      <c r="J50" s="55">
        <f>Table12[[#This Row],[2241775012.0000]]+Table12[[#This Row],[-1852333773.0000]]-Table12[[#This Row],[389441239.0000]]</f>
        <v>0</v>
      </c>
      <c r="K50" s="55">
        <f>Table12[[#This Row],[Column7]]+Table12[[#This Row],[Column8]]-Table12[[#This Row],[Column9]]</f>
        <v>0</v>
      </c>
    </row>
    <row r="51" spans="1:11" ht="23.1" customHeight="1" x14ac:dyDescent="0.45">
      <c r="A51" s="52" t="s">
        <v>118</v>
      </c>
      <c r="B51" s="35">
        <v>0</v>
      </c>
      <c r="C51" s="35">
        <v>0</v>
      </c>
      <c r="D51" s="35">
        <v>0</v>
      </c>
      <c r="E51" s="35">
        <f>Table12[[#This Row],[2241775012.0000]]+Table12[[#This Row],[-1852333773.0000]]</f>
        <v>0</v>
      </c>
      <c r="F51" s="62">
        <v>15202000</v>
      </c>
      <c r="G51" s="62">
        <v>25126274829</v>
      </c>
      <c r="H51" s="62">
        <v>-27008015767</v>
      </c>
      <c r="I51" s="62">
        <f>Table12[[#This Row],[Column7]]+Table12[[#This Row],[Column8]]</f>
        <v>-1881740938</v>
      </c>
      <c r="J51" s="55">
        <f>Table12[[#This Row],[2241775012.0000]]+Table12[[#This Row],[-1852333773.0000]]-Table12[[#This Row],[389441239.0000]]</f>
        <v>0</v>
      </c>
      <c r="K51" s="55">
        <f>Table12[[#This Row],[Column7]]+Table12[[#This Row],[Column8]]-Table12[[#This Row],[Column9]]</f>
        <v>0</v>
      </c>
    </row>
    <row r="52" spans="1:11" ht="23.1" customHeight="1" x14ac:dyDescent="0.45">
      <c r="A52" s="52" t="s">
        <v>149</v>
      </c>
      <c r="B52" s="35">
        <v>0</v>
      </c>
      <c r="C52" s="35">
        <v>0</v>
      </c>
      <c r="D52" s="35">
        <v>0</v>
      </c>
      <c r="E52" s="35">
        <f>Table12[[#This Row],[2241775012.0000]]+Table12[[#This Row],[-1852333773.0000]]</f>
        <v>0</v>
      </c>
      <c r="F52" s="62">
        <v>65000000</v>
      </c>
      <c r="G52" s="62">
        <v>24784722707</v>
      </c>
      <c r="H52" s="62">
        <v>-30548395542</v>
      </c>
      <c r="I52" s="62">
        <f>Table12[[#This Row],[Column7]]+Table12[[#This Row],[Column8]]</f>
        <v>-5763672835</v>
      </c>
      <c r="J52" s="55">
        <f>Table12[[#This Row],[2241775012.0000]]+Table12[[#This Row],[-1852333773.0000]]-Table12[[#This Row],[389441239.0000]]</f>
        <v>0</v>
      </c>
      <c r="K52" s="55">
        <f>Table12[[#This Row],[Column7]]+Table12[[#This Row],[Column8]]-Table12[[#This Row],[Column9]]</f>
        <v>0</v>
      </c>
    </row>
    <row r="53" spans="1:11" ht="23.1" customHeight="1" x14ac:dyDescent="0.45">
      <c r="A53" s="52" t="s">
        <v>147</v>
      </c>
      <c r="B53" s="35">
        <v>0</v>
      </c>
      <c r="C53" s="35">
        <v>0</v>
      </c>
      <c r="D53" s="35">
        <v>0</v>
      </c>
      <c r="E53" s="35">
        <f>Table12[[#This Row],[2241775012.0000]]+Table12[[#This Row],[-1852333773.0000]]</f>
        <v>0</v>
      </c>
      <c r="F53" s="62">
        <v>40000</v>
      </c>
      <c r="G53" s="62">
        <v>11153964193</v>
      </c>
      <c r="H53" s="62">
        <v>-8346977262</v>
      </c>
      <c r="I53" s="62">
        <f>Table12[[#This Row],[Column7]]+Table12[[#This Row],[Column8]]</f>
        <v>2806986931</v>
      </c>
      <c r="J53" s="55">
        <f>Table12[[#This Row],[2241775012.0000]]+Table12[[#This Row],[-1852333773.0000]]-Table12[[#This Row],[389441239.0000]]</f>
        <v>0</v>
      </c>
      <c r="K53" s="55">
        <f>Table12[[#This Row],[Column7]]+Table12[[#This Row],[Column8]]-Table12[[#This Row],[Column9]]</f>
        <v>0</v>
      </c>
    </row>
    <row r="54" spans="1:11" ht="23.1" customHeight="1" x14ac:dyDescent="0.45">
      <c r="A54" s="52" t="s">
        <v>57</v>
      </c>
      <c r="B54" s="35">
        <v>0</v>
      </c>
      <c r="C54" s="35">
        <v>0</v>
      </c>
      <c r="D54" s="35">
        <v>0</v>
      </c>
      <c r="E54" s="35">
        <f>Table12[[#This Row],[2241775012.0000]]+Table12[[#This Row],[-1852333773.0000]]</f>
        <v>0</v>
      </c>
      <c r="F54" s="62">
        <v>709802</v>
      </c>
      <c r="G54" s="62">
        <v>11135088283</v>
      </c>
      <c r="H54" s="62">
        <v>-13012435693</v>
      </c>
      <c r="I54" s="62">
        <f>Table12[[#This Row],[Column7]]+Table12[[#This Row],[Column8]]</f>
        <v>-1877347410</v>
      </c>
      <c r="J54" s="55">
        <f>Table12[[#This Row],[2241775012.0000]]+Table12[[#This Row],[-1852333773.0000]]-Table12[[#This Row],[389441239.0000]]</f>
        <v>0</v>
      </c>
      <c r="K54" s="55">
        <f>Table12[[#This Row],[Column7]]+Table12[[#This Row],[Column8]]-Table12[[#This Row],[Column9]]</f>
        <v>0</v>
      </c>
    </row>
    <row r="55" spans="1:11" ht="23.1" customHeight="1" x14ac:dyDescent="0.45">
      <c r="A55" s="52" t="s">
        <v>34</v>
      </c>
      <c r="B55" s="35">
        <v>0</v>
      </c>
      <c r="C55" s="35">
        <v>0</v>
      </c>
      <c r="D55" s="35">
        <v>0</v>
      </c>
      <c r="E55" s="35">
        <f>Table12[[#This Row],[2241775012.0000]]+Table12[[#This Row],[-1852333773.0000]]</f>
        <v>0</v>
      </c>
      <c r="F55" s="62">
        <v>3516986</v>
      </c>
      <c r="G55" s="62">
        <v>19168834184</v>
      </c>
      <c r="H55" s="62">
        <v>-18743959466</v>
      </c>
      <c r="I55" s="62">
        <f>Table12[[#This Row],[Column7]]+Table12[[#This Row],[Column8]]</f>
        <v>424874718</v>
      </c>
      <c r="J55" s="55">
        <f>Table12[[#This Row],[2241775012.0000]]+Table12[[#This Row],[-1852333773.0000]]-Table12[[#This Row],[389441239.0000]]</f>
        <v>0</v>
      </c>
      <c r="K55" s="55">
        <f>Table12[[#This Row],[Column7]]+Table12[[#This Row],[Column8]]-Table12[[#This Row],[Column9]]</f>
        <v>0</v>
      </c>
    </row>
    <row r="56" spans="1:11" ht="23.1" customHeight="1" x14ac:dyDescent="0.45">
      <c r="A56" s="52" t="s">
        <v>120</v>
      </c>
      <c r="B56" s="35">
        <v>0</v>
      </c>
      <c r="C56" s="35">
        <v>0</v>
      </c>
      <c r="D56" s="35">
        <v>0</v>
      </c>
      <c r="E56" s="35">
        <f>Table12[[#This Row],[2241775012.0000]]+Table12[[#This Row],[-1852333773.0000]]</f>
        <v>0</v>
      </c>
      <c r="F56" s="62">
        <v>19200000</v>
      </c>
      <c r="G56" s="62">
        <v>9351961012</v>
      </c>
      <c r="H56" s="62">
        <v>-8035862001</v>
      </c>
      <c r="I56" s="62">
        <f>Table12[[#This Row],[Column7]]+Table12[[#This Row],[Column8]]</f>
        <v>1316099011</v>
      </c>
      <c r="J56" s="55">
        <f>Table12[[#This Row],[2241775012.0000]]+Table12[[#This Row],[-1852333773.0000]]-Table12[[#This Row],[389441239.0000]]</f>
        <v>0</v>
      </c>
      <c r="K56" s="55">
        <f>Table12[[#This Row],[Column7]]+Table12[[#This Row],[Column8]]-Table12[[#This Row],[Column9]]</f>
        <v>0</v>
      </c>
    </row>
    <row r="57" spans="1:11" ht="23.1" customHeight="1" x14ac:dyDescent="0.45">
      <c r="A57" s="52" t="s">
        <v>116</v>
      </c>
      <c r="B57" s="35">
        <v>0</v>
      </c>
      <c r="C57" s="35">
        <v>0</v>
      </c>
      <c r="D57" s="35">
        <v>0</v>
      </c>
      <c r="E57" s="35">
        <f>Table12[[#This Row],[2241775012.0000]]+Table12[[#This Row],[-1852333773.0000]]</f>
        <v>0</v>
      </c>
      <c r="F57" s="62">
        <v>1256994</v>
      </c>
      <c r="G57" s="62">
        <v>9255338111</v>
      </c>
      <c r="H57" s="62">
        <v>-7484594169</v>
      </c>
      <c r="I57" s="62">
        <f>Table12[[#This Row],[Column7]]+Table12[[#This Row],[Column8]]</f>
        <v>1770743942</v>
      </c>
      <c r="J57" s="55">
        <f>Table12[[#This Row],[2241775012.0000]]+Table12[[#This Row],[-1852333773.0000]]-Table12[[#This Row],[389441239.0000]]</f>
        <v>0</v>
      </c>
      <c r="K57" s="55">
        <f>Table12[[#This Row],[Column7]]+Table12[[#This Row],[Column8]]-Table12[[#This Row],[Column9]]</f>
        <v>0</v>
      </c>
    </row>
    <row r="58" spans="1:11" ht="23.1" customHeight="1" x14ac:dyDescent="0.45">
      <c r="A58" s="52" t="s">
        <v>107</v>
      </c>
      <c r="B58" s="35">
        <v>0</v>
      </c>
      <c r="C58" s="35">
        <v>0</v>
      </c>
      <c r="D58" s="35">
        <v>0</v>
      </c>
      <c r="E58" s="35">
        <f>Table12[[#This Row],[2241775012.0000]]+Table12[[#This Row],[-1852333773.0000]]</f>
        <v>0</v>
      </c>
      <c r="F58" s="62">
        <v>500000</v>
      </c>
      <c r="G58" s="62">
        <v>46913709567</v>
      </c>
      <c r="H58" s="62">
        <v>-45225175199</v>
      </c>
      <c r="I58" s="62">
        <f>Table12[[#This Row],[Column7]]+Table12[[#This Row],[Column8]]</f>
        <v>1688534368</v>
      </c>
      <c r="J58" s="55">
        <f>Table12[[#This Row],[2241775012.0000]]+Table12[[#This Row],[-1852333773.0000]]-Table12[[#This Row],[389441239.0000]]</f>
        <v>0</v>
      </c>
      <c r="K58" s="55">
        <f>Table12[[#This Row],[Column7]]+Table12[[#This Row],[Column8]]-Table12[[#This Row],[Column9]]</f>
        <v>0</v>
      </c>
    </row>
    <row r="59" spans="1:11" ht="23.1" customHeight="1" x14ac:dyDescent="0.45">
      <c r="A59" s="52" t="s">
        <v>21</v>
      </c>
      <c r="B59" s="35">
        <v>0</v>
      </c>
      <c r="C59" s="35">
        <v>0</v>
      </c>
      <c r="D59" s="35">
        <v>0</v>
      </c>
      <c r="E59" s="35">
        <f>Table12[[#This Row],[2241775012.0000]]+Table12[[#This Row],[-1852333773.0000]]</f>
        <v>0</v>
      </c>
      <c r="F59" s="62">
        <v>400000</v>
      </c>
      <c r="G59" s="62">
        <v>2137349594</v>
      </c>
      <c r="H59" s="62">
        <v>-2085541114</v>
      </c>
      <c r="I59" s="62">
        <f>Table12[[#This Row],[Column7]]+Table12[[#This Row],[Column8]]</f>
        <v>51808480</v>
      </c>
      <c r="J59" s="55">
        <f>Table12[[#This Row],[2241775012.0000]]+Table12[[#This Row],[-1852333773.0000]]-Table12[[#This Row],[389441239.0000]]</f>
        <v>0</v>
      </c>
      <c r="K59" s="55">
        <f>Table12[[#This Row],[Column7]]+Table12[[#This Row],[Column8]]-Table12[[#This Row],[Column9]]</f>
        <v>0</v>
      </c>
    </row>
    <row r="60" spans="1:11" ht="23.1" customHeight="1" x14ac:dyDescent="0.45">
      <c r="A60" s="52" t="s">
        <v>119</v>
      </c>
      <c r="B60" s="35">
        <v>0</v>
      </c>
      <c r="C60" s="35">
        <v>0</v>
      </c>
      <c r="D60" s="35">
        <v>0</v>
      </c>
      <c r="E60" s="35">
        <f>Table12[[#This Row],[2241775012.0000]]+Table12[[#This Row],[-1852333773.0000]]</f>
        <v>0</v>
      </c>
      <c r="F60" s="62">
        <v>1250000</v>
      </c>
      <c r="G60" s="62">
        <v>9180340813</v>
      </c>
      <c r="H60" s="62">
        <v>-6487465696</v>
      </c>
      <c r="I60" s="62">
        <f>Table12[[#This Row],[Column7]]+Table12[[#This Row],[Column8]]</f>
        <v>2692875117</v>
      </c>
      <c r="J60" s="55">
        <f>Table12[[#This Row],[2241775012.0000]]+Table12[[#This Row],[-1852333773.0000]]-Table12[[#This Row],[389441239.0000]]</f>
        <v>0</v>
      </c>
      <c r="K60" s="55">
        <f>Table12[[#This Row],[Column7]]+Table12[[#This Row],[Column8]]-Table12[[#This Row],[Column9]]</f>
        <v>0</v>
      </c>
    </row>
    <row r="61" spans="1:11" ht="23.1" customHeight="1" x14ac:dyDescent="0.45">
      <c r="A61" s="52" t="s">
        <v>216</v>
      </c>
      <c r="B61" s="35">
        <v>0</v>
      </c>
      <c r="C61" s="35">
        <v>0</v>
      </c>
      <c r="D61" s="35">
        <v>0</v>
      </c>
      <c r="E61" s="35">
        <f>Table12[[#This Row],[2241775012.0000]]+Table12[[#This Row],[-1852333773.0000]]</f>
        <v>0</v>
      </c>
      <c r="F61" s="62">
        <v>80719</v>
      </c>
      <c r="G61" s="62">
        <v>3269531589</v>
      </c>
      <c r="H61" s="62">
        <v>-3353883269</v>
      </c>
      <c r="I61" s="62">
        <f>Table12[[#This Row],[Column7]]+Table12[[#This Row],[Column8]]</f>
        <v>-84351680</v>
      </c>
      <c r="J61" s="55">
        <f>Table12[[#This Row],[2241775012.0000]]+Table12[[#This Row],[-1852333773.0000]]-Table12[[#This Row],[389441239.0000]]</f>
        <v>0</v>
      </c>
      <c r="K61" s="55">
        <f>Table12[[#This Row],[Column7]]+Table12[[#This Row],[Column8]]-Table12[[#This Row],[Column9]]</f>
        <v>0</v>
      </c>
    </row>
    <row r="62" spans="1:11" ht="23.1" customHeight="1" x14ac:dyDescent="0.45">
      <c r="A62" s="52" t="s">
        <v>150</v>
      </c>
      <c r="B62" s="35">
        <v>0</v>
      </c>
      <c r="C62" s="35">
        <v>0</v>
      </c>
      <c r="D62" s="35">
        <v>0</v>
      </c>
      <c r="E62" s="35">
        <f>Table12[[#This Row],[2241775012.0000]]+Table12[[#This Row],[-1852333773.0000]]</f>
        <v>0</v>
      </c>
      <c r="F62" s="35">
        <v>0</v>
      </c>
      <c r="G62" s="62">
        <v>-10642</v>
      </c>
      <c r="H62" s="35">
        <v>0</v>
      </c>
      <c r="I62" s="62">
        <f>Table12[[#This Row],[Column7]]+Table12[[#This Row],[Column8]]</f>
        <v>-10642</v>
      </c>
      <c r="J62" s="55">
        <f>Table12[[#This Row],[2241775012.0000]]+Table12[[#This Row],[-1852333773.0000]]-Table12[[#This Row],[389441239.0000]]</f>
        <v>0</v>
      </c>
      <c r="K62" s="55">
        <f>Table12[[#This Row],[Column7]]+Table12[[#This Row],[Column8]]-Table12[[#This Row],[Column9]]</f>
        <v>0</v>
      </c>
    </row>
    <row r="63" spans="1:11" ht="23.1" customHeight="1" x14ac:dyDescent="0.45">
      <c r="A63" s="52" t="s">
        <v>35</v>
      </c>
      <c r="B63" s="35">
        <v>0</v>
      </c>
      <c r="C63" s="35">
        <v>0</v>
      </c>
      <c r="D63" s="35">
        <v>0</v>
      </c>
      <c r="E63" s="35">
        <f>Table12[[#This Row],[2241775012.0000]]+Table12[[#This Row],[-1852333773.0000]]</f>
        <v>0</v>
      </c>
      <c r="F63" s="62">
        <v>1000000</v>
      </c>
      <c r="G63" s="62">
        <v>22926785385</v>
      </c>
      <c r="H63" s="62">
        <v>-13730170348</v>
      </c>
      <c r="I63" s="62">
        <f>Table12[[#This Row],[Column7]]+Table12[[#This Row],[Column8]]</f>
        <v>9196615037</v>
      </c>
      <c r="J63" s="55">
        <f>Table12[[#This Row],[2241775012.0000]]+Table12[[#This Row],[-1852333773.0000]]-Table12[[#This Row],[389441239.0000]]</f>
        <v>0</v>
      </c>
      <c r="K63" s="55">
        <f>Table12[[#This Row],[Column7]]+Table12[[#This Row],[Column8]]-Table12[[#This Row],[Column9]]</f>
        <v>0</v>
      </c>
    </row>
    <row r="64" spans="1:11" ht="23.1" customHeight="1" x14ac:dyDescent="0.45">
      <c r="A64" s="52" t="s">
        <v>24</v>
      </c>
      <c r="B64" s="35">
        <v>0</v>
      </c>
      <c r="C64" s="35">
        <v>0</v>
      </c>
      <c r="D64" s="35">
        <v>0</v>
      </c>
      <c r="E64" s="35">
        <f>Table12[[#This Row],[2241775012.0000]]+Table12[[#This Row],[-1852333773.0000]]</f>
        <v>0</v>
      </c>
      <c r="F64" s="62">
        <v>13569412</v>
      </c>
      <c r="G64" s="62">
        <v>49081839996</v>
      </c>
      <c r="H64" s="62">
        <v>-45289377714</v>
      </c>
      <c r="I64" s="62">
        <f>Table12[[#This Row],[Column7]]+Table12[[#This Row],[Column8]]</f>
        <v>3792462282</v>
      </c>
      <c r="J64" s="55">
        <f>Table12[[#This Row],[2241775012.0000]]+Table12[[#This Row],[-1852333773.0000]]-Table12[[#This Row],[389441239.0000]]</f>
        <v>0</v>
      </c>
      <c r="K64" s="55">
        <f>Table12[[#This Row],[Column7]]+Table12[[#This Row],[Column8]]-Table12[[#This Row],[Column9]]</f>
        <v>0</v>
      </c>
    </row>
    <row r="65" spans="1:11" ht="23.1" customHeight="1" x14ac:dyDescent="0.45">
      <c r="A65" s="52" t="s">
        <v>114</v>
      </c>
      <c r="B65" s="35">
        <v>0</v>
      </c>
      <c r="C65" s="35">
        <v>0</v>
      </c>
      <c r="D65" s="35">
        <v>0</v>
      </c>
      <c r="E65" s="35">
        <f>Table12[[#This Row],[2241775012.0000]]+Table12[[#This Row],[-1852333773.0000]]</f>
        <v>0</v>
      </c>
      <c r="F65" s="62">
        <v>3200000</v>
      </c>
      <c r="G65" s="62">
        <v>10188553244</v>
      </c>
      <c r="H65" s="62">
        <v>-8103748943</v>
      </c>
      <c r="I65" s="62">
        <f>Table12[[#This Row],[Column7]]+Table12[[#This Row],[Column8]]</f>
        <v>2084804301</v>
      </c>
      <c r="J65" s="55">
        <f>Table12[[#This Row],[2241775012.0000]]+Table12[[#This Row],[-1852333773.0000]]-Table12[[#This Row],[389441239.0000]]</f>
        <v>0</v>
      </c>
      <c r="K65" s="55">
        <f>Table12[[#This Row],[Column7]]+Table12[[#This Row],[Column8]]-Table12[[#This Row],[Column9]]</f>
        <v>0</v>
      </c>
    </row>
    <row r="66" spans="1:11" ht="23.1" customHeight="1" x14ac:dyDescent="0.45">
      <c r="A66" s="52" t="s">
        <v>20</v>
      </c>
      <c r="B66" s="35">
        <v>0</v>
      </c>
      <c r="C66" s="35">
        <v>0</v>
      </c>
      <c r="D66" s="35">
        <v>0</v>
      </c>
      <c r="E66" s="35">
        <f>Table12[[#This Row],[2241775012.0000]]+Table12[[#This Row],[-1852333773.0000]]</f>
        <v>0</v>
      </c>
      <c r="F66" s="62">
        <v>7593967</v>
      </c>
      <c r="G66" s="62">
        <v>48312419667</v>
      </c>
      <c r="H66" s="62">
        <v>-38634283549</v>
      </c>
      <c r="I66" s="62">
        <f>Table12[[#This Row],[Column7]]+Table12[[#This Row],[Column8]]</f>
        <v>9678136118</v>
      </c>
      <c r="J66" s="55">
        <f>Table12[[#This Row],[2241775012.0000]]+Table12[[#This Row],[-1852333773.0000]]-Table12[[#This Row],[389441239.0000]]</f>
        <v>0</v>
      </c>
      <c r="K66" s="55">
        <f>Table12[[#This Row],[Column7]]+Table12[[#This Row],[Column8]]-Table12[[#This Row],[Column9]]</f>
        <v>0</v>
      </c>
    </row>
    <row r="67" spans="1:11" ht="23.1" customHeight="1" x14ac:dyDescent="0.45">
      <c r="A67" s="52" t="s">
        <v>112</v>
      </c>
      <c r="B67" s="35">
        <v>0</v>
      </c>
      <c r="C67" s="35">
        <v>0</v>
      </c>
      <c r="D67" s="35">
        <v>0</v>
      </c>
      <c r="E67" s="35">
        <f>Table12[[#This Row],[2241775012.0000]]+Table12[[#This Row],[-1852333773.0000]]</f>
        <v>0</v>
      </c>
      <c r="F67" s="62">
        <v>11050000</v>
      </c>
      <c r="G67" s="62">
        <v>10204370826</v>
      </c>
      <c r="H67" s="62">
        <v>-9094961071</v>
      </c>
      <c r="I67" s="62">
        <f>Table12[[#This Row],[Column7]]+Table12[[#This Row],[Column8]]</f>
        <v>1109409755</v>
      </c>
      <c r="J67" s="55">
        <f>Table12[[#This Row],[2241775012.0000]]+Table12[[#This Row],[-1852333773.0000]]-Table12[[#This Row],[389441239.0000]]</f>
        <v>0</v>
      </c>
      <c r="K67" s="55">
        <f>Table12[[#This Row],[Column7]]+Table12[[#This Row],[Column8]]-Table12[[#This Row],[Column9]]</f>
        <v>0</v>
      </c>
    </row>
    <row r="68" spans="1:11" ht="23.1" customHeight="1" x14ac:dyDescent="0.45">
      <c r="A68" s="52" t="s">
        <v>110</v>
      </c>
      <c r="B68" s="35">
        <v>0</v>
      </c>
      <c r="C68" s="35">
        <v>0</v>
      </c>
      <c r="D68" s="35">
        <v>0</v>
      </c>
      <c r="E68" s="35">
        <f>Table12[[#This Row],[2241775012.0000]]+Table12[[#This Row],[-1852333773.0000]]</f>
        <v>0</v>
      </c>
      <c r="F68" s="62">
        <v>210000</v>
      </c>
      <c r="G68" s="62">
        <v>7718521706</v>
      </c>
      <c r="H68" s="62">
        <v>-5751076275</v>
      </c>
      <c r="I68" s="62">
        <f>Table12[[#This Row],[Column7]]+Table12[[#This Row],[Column8]]</f>
        <v>1967445431</v>
      </c>
      <c r="J68" s="55">
        <f>Table12[[#This Row],[2241775012.0000]]+Table12[[#This Row],[-1852333773.0000]]-Table12[[#This Row],[389441239.0000]]</f>
        <v>0</v>
      </c>
      <c r="K68" s="55">
        <f>Table12[[#This Row],[Column7]]+Table12[[#This Row],[Column8]]-Table12[[#This Row],[Column9]]</f>
        <v>0</v>
      </c>
    </row>
    <row r="69" spans="1:11" ht="23.1" customHeight="1" x14ac:dyDescent="0.45">
      <c r="A69" s="52" t="s">
        <v>142</v>
      </c>
      <c r="B69" s="35">
        <v>0</v>
      </c>
      <c r="C69" s="35">
        <v>0</v>
      </c>
      <c r="D69" s="35">
        <v>0</v>
      </c>
      <c r="E69" s="35">
        <f>Table12[[#This Row],[2241775012.0000]]+Table12[[#This Row],[-1852333773.0000]]</f>
        <v>0</v>
      </c>
      <c r="F69" s="62">
        <v>2400000</v>
      </c>
      <c r="G69" s="62">
        <v>3030789534</v>
      </c>
      <c r="H69" s="62">
        <v>-4298248501</v>
      </c>
      <c r="I69" s="62">
        <f>Table12[[#This Row],[Column7]]+Table12[[#This Row],[Column8]]</f>
        <v>-1267458967</v>
      </c>
      <c r="J69" s="55">
        <f>Table12[[#This Row],[2241775012.0000]]+Table12[[#This Row],[-1852333773.0000]]-Table12[[#This Row],[389441239.0000]]</f>
        <v>0</v>
      </c>
      <c r="K69" s="55">
        <f>Table12[[#This Row],[Column7]]+Table12[[#This Row],[Column8]]-Table12[[#This Row],[Column9]]</f>
        <v>0</v>
      </c>
    </row>
    <row r="70" spans="1:11" ht="23.1" customHeight="1" x14ac:dyDescent="0.45">
      <c r="A70" s="52" t="s">
        <v>144</v>
      </c>
      <c r="B70" s="35">
        <v>0</v>
      </c>
      <c r="C70" s="35">
        <v>0</v>
      </c>
      <c r="D70" s="35">
        <v>0</v>
      </c>
      <c r="E70" s="35">
        <f>Table12[[#This Row],[2241775012.0000]]+Table12[[#This Row],[-1852333773.0000]]</f>
        <v>0</v>
      </c>
      <c r="F70" s="62">
        <v>10800000</v>
      </c>
      <c r="G70" s="62">
        <v>26520731130</v>
      </c>
      <c r="H70" s="62">
        <v>-28545512873</v>
      </c>
      <c r="I70" s="62">
        <f>Table12[[#This Row],[Column7]]+Table12[[#This Row],[Column8]]</f>
        <v>-2024781743</v>
      </c>
      <c r="J70" s="55">
        <f>Table12[[#This Row],[2241775012.0000]]+Table12[[#This Row],[-1852333773.0000]]-Table12[[#This Row],[389441239.0000]]</f>
        <v>0</v>
      </c>
      <c r="K70" s="55">
        <f>Table12[[#This Row],[Column7]]+Table12[[#This Row],[Column8]]-Table12[[#This Row],[Column9]]</f>
        <v>0</v>
      </c>
    </row>
    <row r="71" spans="1:11" ht="23.1" customHeight="1" x14ac:dyDescent="0.45">
      <c r="A71" s="52" t="s">
        <v>154</v>
      </c>
      <c r="B71" s="35">
        <v>0</v>
      </c>
      <c r="C71" s="35">
        <v>0</v>
      </c>
      <c r="D71" s="35">
        <v>0</v>
      </c>
      <c r="E71" s="35">
        <f>Table12[[#This Row],[2241775012.0000]]+Table12[[#This Row],[-1852333773.0000]]</f>
        <v>0</v>
      </c>
      <c r="F71" s="62">
        <v>896031</v>
      </c>
      <c r="G71" s="62">
        <v>17778766918</v>
      </c>
      <c r="H71" s="62">
        <v>-20118366398</v>
      </c>
      <c r="I71" s="62">
        <f>Table12[[#This Row],[Column7]]+Table12[[#This Row],[Column8]]</f>
        <v>-2339599480</v>
      </c>
      <c r="J71" s="55">
        <f>Table12[[#This Row],[2241775012.0000]]+Table12[[#This Row],[-1852333773.0000]]-Table12[[#This Row],[389441239.0000]]</f>
        <v>0</v>
      </c>
      <c r="K71" s="55">
        <f>Table12[[#This Row],[Column7]]+Table12[[#This Row],[Column8]]-Table12[[#This Row],[Column9]]</f>
        <v>0</v>
      </c>
    </row>
    <row r="72" spans="1:11" ht="23.1" customHeight="1" x14ac:dyDescent="0.45">
      <c r="A72" s="52" t="s">
        <v>44</v>
      </c>
      <c r="B72" s="35">
        <v>0</v>
      </c>
      <c r="C72" s="35">
        <v>0</v>
      </c>
      <c r="D72" s="35">
        <v>0</v>
      </c>
      <c r="E72" s="35">
        <f>Table12[[#This Row],[2241775012.0000]]+Table12[[#This Row],[-1852333773.0000]]</f>
        <v>0</v>
      </c>
      <c r="F72" s="62">
        <v>300000</v>
      </c>
      <c r="G72" s="62">
        <v>15643136641</v>
      </c>
      <c r="H72" s="62">
        <v>-9234724500</v>
      </c>
      <c r="I72" s="62">
        <f>Table12[[#This Row],[Column7]]+Table12[[#This Row],[Column8]]</f>
        <v>6408412141</v>
      </c>
      <c r="J72" s="55">
        <f>Table12[[#This Row],[2241775012.0000]]+Table12[[#This Row],[-1852333773.0000]]-Table12[[#This Row],[389441239.0000]]</f>
        <v>0</v>
      </c>
      <c r="K72" s="55">
        <f>Table12[[#This Row],[Column7]]+Table12[[#This Row],[Column8]]-Table12[[#This Row],[Column9]]</f>
        <v>0</v>
      </c>
    </row>
    <row r="73" spans="1:11" ht="23.1" customHeight="1" x14ac:dyDescent="0.45">
      <c r="A73" s="52" t="s">
        <v>18</v>
      </c>
      <c r="B73" s="35">
        <v>0</v>
      </c>
      <c r="C73" s="35">
        <v>0</v>
      </c>
      <c r="D73" s="35">
        <v>0</v>
      </c>
      <c r="E73" s="35">
        <f>Table12[[#This Row],[2241775012.0000]]+Table12[[#This Row],[-1852333773.0000]]</f>
        <v>0</v>
      </c>
      <c r="F73" s="62">
        <v>6351779</v>
      </c>
      <c r="G73" s="62">
        <v>16233661800</v>
      </c>
      <c r="H73" s="62">
        <v>-15184421924</v>
      </c>
      <c r="I73" s="62">
        <f>Table12[[#This Row],[Column7]]+Table12[[#This Row],[Column8]]</f>
        <v>1049239876</v>
      </c>
      <c r="J73" s="55">
        <f>Table12[[#This Row],[2241775012.0000]]+Table12[[#This Row],[-1852333773.0000]]-Table12[[#This Row],[389441239.0000]]</f>
        <v>0</v>
      </c>
      <c r="K73" s="55">
        <f>Table12[[#This Row],[Column7]]+Table12[[#This Row],[Column8]]-Table12[[#This Row],[Column9]]</f>
        <v>0</v>
      </c>
    </row>
    <row r="74" spans="1:11" ht="23.1" customHeight="1" x14ac:dyDescent="0.45">
      <c r="A74" s="52" t="s">
        <v>55</v>
      </c>
      <c r="B74" s="35">
        <v>0</v>
      </c>
      <c r="C74" s="35">
        <v>0</v>
      </c>
      <c r="D74" s="35">
        <v>0</v>
      </c>
      <c r="E74" s="35">
        <f>Table12[[#This Row],[2241775012.0000]]+Table12[[#This Row],[-1852333773.0000]]</f>
        <v>0</v>
      </c>
      <c r="F74" s="62">
        <v>1370000</v>
      </c>
      <c r="G74" s="62">
        <v>5294008228</v>
      </c>
      <c r="H74" s="62">
        <v>-4956509198</v>
      </c>
      <c r="I74" s="62">
        <f>Table12[[#This Row],[Column7]]+Table12[[#This Row],[Column8]]</f>
        <v>337499030</v>
      </c>
      <c r="J74" s="55">
        <f>Table12[[#This Row],[2241775012.0000]]+Table12[[#This Row],[-1852333773.0000]]-Table12[[#This Row],[389441239.0000]]</f>
        <v>0</v>
      </c>
      <c r="K74" s="55">
        <f>Table12[[#This Row],[Column7]]+Table12[[#This Row],[Column8]]-Table12[[#This Row],[Column9]]</f>
        <v>0</v>
      </c>
    </row>
    <row r="75" spans="1:11" ht="23.1" customHeight="1" x14ac:dyDescent="0.45">
      <c r="A75" s="52" t="s">
        <v>52</v>
      </c>
      <c r="B75" s="35">
        <v>0</v>
      </c>
      <c r="C75" s="35">
        <v>0</v>
      </c>
      <c r="D75" s="35">
        <v>0</v>
      </c>
      <c r="E75" s="35">
        <f>Table12[[#This Row],[2241775012.0000]]+Table12[[#This Row],[-1852333773.0000]]</f>
        <v>0</v>
      </c>
      <c r="F75" s="62">
        <v>1014599</v>
      </c>
      <c r="G75" s="62">
        <v>17135272685</v>
      </c>
      <c r="H75" s="62">
        <v>-10901062989</v>
      </c>
      <c r="I75" s="62">
        <f>Table12[[#This Row],[Column7]]+Table12[[#This Row],[Column8]]</f>
        <v>6234209696</v>
      </c>
      <c r="J75" s="55">
        <f>Table12[[#This Row],[2241775012.0000]]+Table12[[#This Row],[-1852333773.0000]]-Table12[[#This Row],[389441239.0000]]</f>
        <v>0</v>
      </c>
      <c r="K75" s="55">
        <f>Table12[[#This Row],[Column7]]+Table12[[#This Row],[Column8]]-Table12[[#This Row],[Column9]]</f>
        <v>0</v>
      </c>
    </row>
    <row r="76" spans="1:11" ht="23.1" customHeight="1" x14ac:dyDescent="0.45">
      <c r="A76" s="52" t="s">
        <v>16</v>
      </c>
      <c r="B76" s="35">
        <v>0</v>
      </c>
      <c r="C76" s="35">
        <v>0</v>
      </c>
      <c r="D76" s="35">
        <v>0</v>
      </c>
      <c r="E76" s="35">
        <f>Table12[[#This Row],[2241775012.0000]]+Table12[[#This Row],[-1852333773.0000]]</f>
        <v>0</v>
      </c>
      <c r="F76" s="62">
        <v>405051</v>
      </c>
      <c r="G76" s="62">
        <v>21811519103</v>
      </c>
      <c r="H76" s="62">
        <v>-15035407233</v>
      </c>
      <c r="I76" s="62">
        <f>Table12[[#This Row],[Column7]]+Table12[[#This Row],[Column8]]</f>
        <v>6776111870</v>
      </c>
      <c r="J76" s="55">
        <f>Table12[[#This Row],[2241775012.0000]]+Table12[[#This Row],[-1852333773.0000]]-Table12[[#This Row],[389441239.0000]]</f>
        <v>0</v>
      </c>
      <c r="K76" s="55">
        <f>Table12[[#This Row],[Column7]]+Table12[[#This Row],[Column8]]-Table12[[#This Row],[Column9]]</f>
        <v>0</v>
      </c>
    </row>
    <row r="77" spans="1:11" ht="23.1" customHeight="1" x14ac:dyDescent="0.45">
      <c r="A77" s="52" t="s">
        <v>58</v>
      </c>
      <c r="B77" s="35">
        <v>0</v>
      </c>
      <c r="C77" s="35">
        <v>0</v>
      </c>
      <c r="D77" s="35">
        <v>0</v>
      </c>
      <c r="E77" s="35">
        <f>Table12[[#This Row],[2241775012.0000]]+Table12[[#This Row],[-1852333773.0000]]</f>
        <v>0</v>
      </c>
      <c r="F77" s="62">
        <v>334</v>
      </c>
      <c r="G77" s="62">
        <v>1398411</v>
      </c>
      <c r="H77" s="62">
        <v>-1288350</v>
      </c>
      <c r="I77" s="62">
        <f>Table12[[#This Row],[Column7]]+Table12[[#This Row],[Column8]]</f>
        <v>110061</v>
      </c>
      <c r="J77" s="55">
        <f>Table12[[#This Row],[2241775012.0000]]+Table12[[#This Row],[-1852333773.0000]]-Table12[[#This Row],[389441239.0000]]</f>
        <v>0</v>
      </c>
      <c r="K77" s="55">
        <f>Table12[[#This Row],[Column7]]+Table12[[#This Row],[Column8]]-Table12[[#This Row],[Column9]]</f>
        <v>0</v>
      </c>
    </row>
    <row r="78" spans="1:11" ht="23.1" customHeight="1" x14ac:dyDescent="0.45">
      <c r="A78" s="52" t="s">
        <v>160</v>
      </c>
      <c r="B78" s="35">
        <v>0</v>
      </c>
      <c r="C78" s="35">
        <v>0</v>
      </c>
      <c r="D78" s="35">
        <v>0</v>
      </c>
      <c r="E78" s="35">
        <f>Table12[[#This Row],[2241775012.0000]]+Table12[[#This Row],[-1852333773.0000]]</f>
        <v>0</v>
      </c>
      <c r="F78" s="62">
        <v>73879</v>
      </c>
      <c r="G78" s="62">
        <v>1295876787</v>
      </c>
      <c r="H78" s="62">
        <v>-1294985185</v>
      </c>
      <c r="I78" s="62">
        <f>Table12[[#This Row],[Column7]]+Table12[[#This Row],[Column8]]</f>
        <v>891602</v>
      </c>
      <c r="J78" s="55">
        <f>Table12[[#This Row],[2241775012.0000]]+Table12[[#This Row],[-1852333773.0000]]-Table12[[#This Row],[389441239.0000]]</f>
        <v>0</v>
      </c>
      <c r="K78" s="55">
        <f>Table12[[#This Row],[Column7]]+Table12[[#This Row],[Column8]]-Table12[[#This Row],[Column9]]</f>
        <v>0</v>
      </c>
    </row>
    <row r="79" spans="1:11" ht="23.1" customHeight="1" x14ac:dyDescent="0.45">
      <c r="A79" s="52" t="s">
        <v>63</v>
      </c>
      <c r="B79" s="35">
        <v>0</v>
      </c>
      <c r="C79" s="35">
        <v>0</v>
      </c>
      <c r="D79" s="35">
        <v>0</v>
      </c>
      <c r="E79" s="35">
        <f>Table12[[#This Row],[2241775012.0000]]+Table12[[#This Row],[-1852333773.0000]]</f>
        <v>0</v>
      </c>
      <c r="F79" s="62">
        <v>54422</v>
      </c>
      <c r="G79" s="62">
        <v>30940516548</v>
      </c>
      <c r="H79" s="62">
        <v>-30037131445</v>
      </c>
      <c r="I79" s="62">
        <f>Table12[[#This Row],[Column7]]+Table12[[#This Row],[Column8]]</f>
        <v>903385103</v>
      </c>
      <c r="J79" s="55">
        <f>Table12[[#This Row],[2241775012.0000]]+Table12[[#This Row],[-1852333773.0000]]-Table12[[#This Row],[389441239.0000]]</f>
        <v>0</v>
      </c>
      <c r="K79" s="55">
        <f>Table12[[#This Row],[Column7]]+Table12[[#This Row],[Column8]]-Table12[[#This Row],[Column9]]</f>
        <v>0</v>
      </c>
    </row>
    <row r="80" spans="1:11" ht="23.1" customHeight="1" x14ac:dyDescent="0.45">
      <c r="A80" s="52" t="s">
        <v>262</v>
      </c>
      <c r="B80" s="35">
        <v>0</v>
      </c>
      <c r="C80" s="35">
        <v>0</v>
      </c>
      <c r="D80" s="35">
        <v>0</v>
      </c>
      <c r="E80" s="35">
        <f>Table12[[#This Row],[2241775012.0000]]+Table12[[#This Row],[-1852333773.0000]]</f>
        <v>0</v>
      </c>
      <c r="F80" s="62">
        <v>-13000000</v>
      </c>
      <c r="G80" s="62">
        <v>584556913</v>
      </c>
      <c r="H80" s="62">
        <v>-585000000</v>
      </c>
      <c r="I80" s="62">
        <f>Table12[[#This Row],[Column7]]+Table12[[#This Row],[Column8]]</f>
        <v>-443087</v>
      </c>
      <c r="J80" s="55">
        <f>Table12[[#This Row],[2241775012.0000]]+Table12[[#This Row],[-1852333773.0000]]-Table12[[#This Row],[389441239.0000]]</f>
        <v>0</v>
      </c>
      <c r="K80" s="55">
        <f>Table12[[#This Row],[Column7]]+Table12[[#This Row],[Column8]]-Table12[[#This Row],[Column9]]</f>
        <v>0</v>
      </c>
    </row>
    <row r="81" spans="1:11" ht="23.1" customHeight="1" x14ac:dyDescent="0.45">
      <c r="A81" s="52" t="s">
        <v>255</v>
      </c>
      <c r="B81" s="35">
        <v>0</v>
      </c>
      <c r="C81" s="35">
        <v>0</v>
      </c>
      <c r="D81" s="35">
        <v>0</v>
      </c>
      <c r="E81" s="35">
        <f>Table12[[#This Row],[2241775012.0000]]+Table12[[#This Row],[-1852333773.0000]]</f>
        <v>0</v>
      </c>
      <c r="F81" s="62">
        <v>-22800000</v>
      </c>
      <c r="G81" s="62">
        <v>1494667030</v>
      </c>
      <c r="H81" s="62">
        <v>-1495800000</v>
      </c>
      <c r="I81" s="62">
        <f>Table12[[#This Row],[Column7]]+Table12[[#This Row],[Column8]]</f>
        <v>-1132970</v>
      </c>
      <c r="J81" s="55">
        <f>Table12[[#This Row],[2241775012.0000]]+Table12[[#This Row],[-1852333773.0000]]-Table12[[#This Row],[389441239.0000]]</f>
        <v>0</v>
      </c>
      <c r="K81" s="55">
        <f>Table12[[#This Row],[Column7]]+Table12[[#This Row],[Column8]]-Table12[[#This Row],[Column9]]</f>
        <v>0</v>
      </c>
    </row>
    <row r="82" spans="1:11" ht="23.1" customHeight="1" x14ac:dyDescent="0.45">
      <c r="A82" s="52" t="s">
        <v>217</v>
      </c>
      <c r="B82" s="35">
        <v>0</v>
      </c>
      <c r="C82" s="35">
        <v>0</v>
      </c>
      <c r="D82" s="35">
        <v>0</v>
      </c>
      <c r="E82" s="35">
        <f>Table12[[#This Row],[2241775012.0000]]+Table12[[#This Row],[-1852333773.0000]]</f>
        <v>0</v>
      </c>
      <c r="F82" s="62">
        <v>22224000</v>
      </c>
      <c r="G82" s="62">
        <v>8447068437</v>
      </c>
      <c r="H82" s="62">
        <v>-15215922428</v>
      </c>
      <c r="I82" s="62">
        <f>Table12[[#This Row],[Column7]]+Table12[[#This Row],[Column8]]</f>
        <v>-6768853991</v>
      </c>
      <c r="J82" s="55">
        <f>Table12[[#This Row],[2241775012.0000]]+Table12[[#This Row],[-1852333773.0000]]-Table12[[#This Row],[389441239.0000]]</f>
        <v>0</v>
      </c>
      <c r="K82" s="55">
        <f>Table12[[#This Row],[Column7]]+Table12[[#This Row],[Column8]]-Table12[[#This Row],[Column9]]</f>
        <v>0</v>
      </c>
    </row>
    <row r="83" spans="1:11" ht="23.1" customHeight="1" x14ac:dyDescent="0.45">
      <c r="A83" s="52" t="s">
        <v>224</v>
      </c>
      <c r="B83" s="35">
        <v>0</v>
      </c>
      <c r="C83" s="35">
        <v>0</v>
      </c>
      <c r="D83" s="35">
        <v>0</v>
      </c>
      <c r="E83" s="35">
        <f>Table12[[#This Row],[2241775012.0000]]+Table12[[#This Row],[-1852333773.0000]]</f>
        <v>0</v>
      </c>
      <c r="F83" s="35">
        <v>0</v>
      </c>
      <c r="G83" s="62">
        <v>447969418</v>
      </c>
      <c r="H83" s="35">
        <v>0</v>
      </c>
      <c r="I83" s="62">
        <f>Table12[[#This Row],[Column7]]+Table12[[#This Row],[Column8]]</f>
        <v>447969418</v>
      </c>
      <c r="J83" s="55">
        <f>Table12[[#This Row],[2241775012.0000]]+Table12[[#This Row],[-1852333773.0000]]-Table12[[#This Row],[389441239.0000]]</f>
        <v>0</v>
      </c>
      <c r="K83" s="55">
        <f>Table12[[#This Row],[Column7]]+Table12[[#This Row],[Column8]]-Table12[[#This Row],[Column9]]</f>
        <v>0</v>
      </c>
    </row>
    <row r="84" spans="1:11" ht="23.1" customHeight="1" x14ac:dyDescent="0.45">
      <c r="A84" s="52" t="s">
        <v>233</v>
      </c>
      <c r="B84" s="35">
        <v>0</v>
      </c>
      <c r="C84" s="35">
        <v>0</v>
      </c>
      <c r="D84" s="35">
        <v>0</v>
      </c>
      <c r="E84" s="35">
        <f>Table12[[#This Row],[2241775012.0000]]+Table12[[#This Row],[-1852333773.0000]]</f>
        <v>0</v>
      </c>
      <c r="F84" s="62">
        <v>-13000</v>
      </c>
      <c r="G84" s="62">
        <v>216935548</v>
      </c>
      <c r="H84" s="62">
        <v>-217100000</v>
      </c>
      <c r="I84" s="62">
        <f>Table12[[#This Row],[Column7]]+Table12[[#This Row],[Column8]]</f>
        <v>-164452</v>
      </c>
      <c r="J84" s="55">
        <f>Table12[[#This Row],[2241775012.0000]]+Table12[[#This Row],[-1852333773.0000]]-Table12[[#This Row],[389441239.0000]]</f>
        <v>0</v>
      </c>
      <c r="K84" s="55">
        <f>Table12[[#This Row],[Column7]]+Table12[[#This Row],[Column8]]-Table12[[#This Row],[Column9]]</f>
        <v>0</v>
      </c>
    </row>
    <row r="85" spans="1:11" ht="23.1" customHeight="1" x14ac:dyDescent="0.45">
      <c r="A85" s="52" t="s">
        <v>178</v>
      </c>
      <c r="B85" s="35">
        <v>0</v>
      </c>
      <c r="C85" s="35">
        <v>0</v>
      </c>
      <c r="D85" s="35">
        <v>0</v>
      </c>
      <c r="E85" s="35">
        <f>Table12[[#This Row],[2241775012.0000]]+Table12[[#This Row],[-1852333773.0000]]</f>
        <v>0</v>
      </c>
      <c r="F85" s="62">
        <v>-100000</v>
      </c>
      <c r="G85" s="62">
        <v>169153315</v>
      </c>
      <c r="H85" s="62">
        <v>-160000000</v>
      </c>
      <c r="I85" s="62">
        <f>Table12[[#This Row],[Column7]]+Table12[[#This Row],[Column8]]</f>
        <v>9153315</v>
      </c>
      <c r="J85" s="55">
        <f>Table12[[#This Row],[2241775012.0000]]+Table12[[#This Row],[-1852333773.0000]]-Table12[[#This Row],[389441239.0000]]</f>
        <v>0</v>
      </c>
      <c r="K85" s="55">
        <f>Table12[[#This Row],[Column7]]+Table12[[#This Row],[Column8]]-Table12[[#This Row],[Column9]]</f>
        <v>0</v>
      </c>
    </row>
    <row r="86" spans="1:11" ht="23.1" customHeight="1" x14ac:dyDescent="0.45">
      <c r="A86" s="52" t="s">
        <v>175</v>
      </c>
      <c r="B86" s="35">
        <v>0</v>
      </c>
      <c r="C86" s="35">
        <v>0</v>
      </c>
      <c r="D86" s="35">
        <v>0</v>
      </c>
      <c r="E86" s="35">
        <f>Table12[[#This Row],[2241775012.0000]]+Table12[[#This Row],[-1852333773.0000]]</f>
        <v>0</v>
      </c>
      <c r="F86" s="35">
        <v>0</v>
      </c>
      <c r="G86" s="62">
        <v>1183735390</v>
      </c>
      <c r="H86" s="35">
        <v>0</v>
      </c>
      <c r="I86" s="62">
        <f>Table12[[#This Row],[Column7]]+Table12[[#This Row],[Column8]]</f>
        <v>1183735390</v>
      </c>
      <c r="J86" s="55">
        <f>Table12[[#This Row],[2241775012.0000]]+Table12[[#This Row],[-1852333773.0000]]-Table12[[#This Row],[389441239.0000]]</f>
        <v>0</v>
      </c>
      <c r="K86" s="55">
        <f>Table12[[#This Row],[Column7]]+Table12[[#This Row],[Column8]]-Table12[[#This Row],[Column9]]</f>
        <v>0</v>
      </c>
    </row>
    <row r="87" spans="1:11" ht="23.1" customHeight="1" x14ac:dyDescent="0.45">
      <c r="A87" s="52" t="s">
        <v>155</v>
      </c>
      <c r="B87" s="35">
        <v>0</v>
      </c>
      <c r="C87" s="35">
        <v>0</v>
      </c>
      <c r="D87" s="35">
        <v>0</v>
      </c>
      <c r="E87" s="35">
        <f>Table12[[#This Row],[2241775012.0000]]+Table12[[#This Row],[-1852333773.0000]]</f>
        <v>0</v>
      </c>
      <c r="F87" s="62">
        <v>7000000</v>
      </c>
      <c r="G87" s="62">
        <v>735275923</v>
      </c>
      <c r="H87" s="62">
        <v>-420318122</v>
      </c>
      <c r="I87" s="62">
        <f>Table12[[#This Row],[Column7]]+Table12[[#This Row],[Column8]]</f>
        <v>314957801</v>
      </c>
      <c r="J87" s="55">
        <f>Table12[[#This Row],[2241775012.0000]]+Table12[[#This Row],[-1852333773.0000]]-Table12[[#This Row],[389441239.0000]]</f>
        <v>0</v>
      </c>
      <c r="K87" s="55">
        <f>Table12[[#This Row],[Column7]]+Table12[[#This Row],[Column8]]-Table12[[#This Row],[Column9]]</f>
        <v>0</v>
      </c>
    </row>
    <row r="88" spans="1:11" ht="23.1" customHeight="1" x14ac:dyDescent="0.45">
      <c r="A88" s="52" t="s">
        <v>157</v>
      </c>
      <c r="B88" s="35">
        <v>0</v>
      </c>
      <c r="C88" s="35">
        <v>0</v>
      </c>
      <c r="D88" s="35">
        <v>0</v>
      </c>
      <c r="E88" s="35">
        <f>Table12[[#This Row],[2241775012.0000]]+Table12[[#This Row],[-1852333773.0000]]</f>
        <v>0</v>
      </c>
      <c r="F88" s="62">
        <v>68000000</v>
      </c>
      <c r="G88" s="62">
        <v>-5818768604</v>
      </c>
      <c r="H88" s="62">
        <v>3134464482</v>
      </c>
      <c r="I88" s="62">
        <f>Table12[[#This Row],[Column7]]+Table12[[#This Row],[Column8]]</f>
        <v>-2684304122</v>
      </c>
      <c r="J88" s="55">
        <f>Table12[[#This Row],[2241775012.0000]]+Table12[[#This Row],[-1852333773.0000]]-Table12[[#This Row],[389441239.0000]]</f>
        <v>0</v>
      </c>
      <c r="K88" s="55">
        <f>Table12[[#This Row],[Column7]]+Table12[[#This Row],[Column8]]-Table12[[#This Row],[Column9]]</f>
        <v>0</v>
      </c>
    </row>
    <row r="89" spans="1:11" ht="23.1" customHeight="1" x14ac:dyDescent="0.45">
      <c r="A89" s="52" t="s">
        <v>169</v>
      </c>
      <c r="B89" s="35">
        <v>0</v>
      </c>
      <c r="C89" s="35">
        <v>0</v>
      </c>
      <c r="D89" s="35">
        <v>0</v>
      </c>
      <c r="E89" s="35">
        <f>Table12[[#This Row],[2241775012.0000]]+Table12[[#This Row],[-1852333773.0000]]</f>
        <v>0</v>
      </c>
      <c r="F89" s="35">
        <v>0</v>
      </c>
      <c r="G89" s="62">
        <v>3789938207</v>
      </c>
      <c r="H89" s="35">
        <v>0</v>
      </c>
      <c r="I89" s="62">
        <f>Table12[[#This Row],[Column7]]+Table12[[#This Row],[Column8]]</f>
        <v>3789938207</v>
      </c>
      <c r="J89" s="55">
        <f>Table12[[#This Row],[2241775012.0000]]+Table12[[#This Row],[-1852333773.0000]]-Table12[[#This Row],[389441239.0000]]</f>
        <v>0</v>
      </c>
      <c r="K89" s="55">
        <f>Table12[[#This Row],[Column7]]+Table12[[#This Row],[Column8]]-Table12[[#This Row],[Column9]]</f>
        <v>0</v>
      </c>
    </row>
    <row r="90" spans="1:11" ht="23.1" customHeight="1" x14ac:dyDescent="0.45">
      <c r="A90" s="52" t="s">
        <v>158</v>
      </c>
      <c r="B90" s="35">
        <v>0</v>
      </c>
      <c r="C90" s="35">
        <v>0</v>
      </c>
      <c r="D90" s="35">
        <v>0</v>
      </c>
      <c r="E90" s="35">
        <f>Table12[[#This Row],[2241775012.0000]]+Table12[[#This Row],[-1852333773.0000]]</f>
        <v>0</v>
      </c>
      <c r="F90" s="62">
        <v>48000000</v>
      </c>
      <c r="G90" s="62">
        <v>431672998</v>
      </c>
      <c r="H90" s="62">
        <v>-4461304263</v>
      </c>
      <c r="I90" s="62">
        <f>Table12[[#This Row],[Column7]]+Table12[[#This Row],[Column8]]</f>
        <v>-4029631265</v>
      </c>
      <c r="J90" s="55">
        <f>Table12[[#This Row],[2241775012.0000]]+Table12[[#This Row],[-1852333773.0000]]-Table12[[#This Row],[389441239.0000]]</f>
        <v>0</v>
      </c>
      <c r="K90" s="55">
        <f>Table12[[#This Row],[Column7]]+Table12[[#This Row],[Column8]]-Table12[[#This Row],[Column9]]</f>
        <v>0</v>
      </c>
    </row>
    <row r="91" spans="1:11" ht="23.1" customHeight="1" x14ac:dyDescent="0.45">
      <c r="A91" s="52" t="s">
        <v>257</v>
      </c>
      <c r="B91" s="35">
        <v>0</v>
      </c>
      <c r="C91" s="35">
        <v>0</v>
      </c>
      <c r="D91" s="35">
        <v>0</v>
      </c>
      <c r="E91" s="35">
        <f>Table12[[#This Row],[2241775012.0000]]+Table12[[#This Row],[-1852333773.0000]]</f>
        <v>0</v>
      </c>
      <c r="F91" s="35">
        <v>0</v>
      </c>
      <c r="G91" s="62">
        <v>150830827</v>
      </c>
      <c r="H91" s="35">
        <v>0</v>
      </c>
      <c r="I91" s="62">
        <f>Table12[[#This Row],[Column7]]+Table12[[#This Row],[Column8]]</f>
        <v>150830827</v>
      </c>
      <c r="J91" s="55">
        <f>Table12[[#This Row],[2241775012.0000]]+Table12[[#This Row],[-1852333773.0000]]-Table12[[#This Row],[389441239.0000]]</f>
        <v>0</v>
      </c>
      <c r="K91" s="55">
        <f>Table12[[#This Row],[Column7]]+Table12[[#This Row],[Column8]]-Table12[[#This Row],[Column9]]</f>
        <v>0</v>
      </c>
    </row>
    <row r="92" spans="1:11" ht="23.1" customHeight="1" x14ac:dyDescent="0.45">
      <c r="A92" s="52" t="s">
        <v>222</v>
      </c>
      <c r="B92" s="35">
        <v>0</v>
      </c>
      <c r="C92" s="35">
        <v>0</v>
      </c>
      <c r="D92" s="35">
        <v>0</v>
      </c>
      <c r="E92" s="35">
        <f>Table12[[#This Row],[2241775012.0000]]+Table12[[#This Row],[-1852333773.0000]]</f>
        <v>0</v>
      </c>
      <c r="F92" s="35">
        <v>0</v>
      </c>
      <c r="G92" s="62">
        <v>37886400</v>
      </c>
      <c r="H92" s="35">
        <v>0</v>
      </c>
      <c r="I92" s="62">
        <f>Table12[[#This Row],[Column7]]+Table12[[#This Row],[Column8]]</f>
        <v>37886400</v>
      </c>
      <c r="J92" s="55">
        <f>Table12[[#This Row],[2241775012.0000]]+Table12[[#This Row],[-1852333773.0000]]-Table12[[#This Row],[389441239.0000]]</f>
        <v>0</v>
      </c>
      <c r="K92" s="55">
        <f>Table12[[#This Row],[Column7]]+Table12[[#This Row],[Column8]]-Table12[[#This Row],[Column9]]</f>
        <v>0</v>
      </c>
    </row>
    <row r="93" spans="1:11" ht="23.1" customHeight="1" x14ac:dyDescent="0.45">
      <c r="A93" s="52" t="s">
        <v>225</v>
      </c>
      <c r="B93" s="35">
        <v>0</v>
      </c>
      <c r="C93" s="35">
        <v>0</v>
      </c>
      <c r="D93" s="35">
        <v>0</v>
      </c>
      <c r="E93" s="35">
        <f>Table12[[#This Row],[2241775012.0000]]+Table12[[#This Row],[-1852333773.0000]]</f>
        <v>0</v>
      </c>
      <c r="F93" s="35">
        <v>0</v>
      </c>
      <c r="G93" s="62">
        <v>20427553</v>
      </c>
      <c r="H93" s="35">
        <v>0</v>
      </c>
      <c r="I93" s="62">
        <f>Table12[[#This Row],[Column7]]+Table12[[#This Row],[Column8]]</f>
        <v>20427553</v>
      </c>
      <c r="J93" s="55">
        <f>Table12[[#This Row],[2241775012.0000]]+Table12[[#This Row],[-1852333773.0000]]-Table12[[#This Row],[389441239.0000]]</f>
        <v>0</v>
      </c>
      <c r="K93" s="55">
        <f>Table12[[#This Row],[Column7]]+Table12[[#This Row],[Column8]]-Table12[[#This Row],[Column9]]</f>
        <v>0</v>
      </c>
    </row>
    <row r="94" spans="1:11" ht="23.1" customHeight="1" x14ac:dyDescent="0.45">
      <c r="A94" s="52" t="s">
        <v>174</v>
      </c>
      <c r="B94" s="35">
        <v>0</v>
      </c>
      <c r="C94" s="35">
        <v>0</v>
      </c>
      <c r="D94" s="35">
        <v>0</v>
      </c>
      <c r="E94" s="35">
        <f>Table12[[#This Row],[2241775012.0000]]+Table12[[#This Row],[-1852333773.0000]]</f>
        <v>0</v>
      </c>
      <c r="F94" s="62">
        <v>3395000</v>
      </c>
      <c r="G94" s="62">
        <v>5805121190</v>
      </c>
      <c r="H94" s="62">
        <v>-36978208</v>
      </c>
      <c r="I94" s="62">
        <f>Table12[[#This Row],[Column7]]+Table12[[#This Row],[Column8]]</f>
        <v>5768142982</v>
      </c>
      <c r="J94" s="55">
        <f>Table12[[#This Row],[2241775012.0000]]+Table12[[#This Row],[-1852333773.0000]]-Table12[[#This Row],[389441239.0000]]</f>
        <v>0</v>
      </c>
      <c r="K94" s="55">
        <f>Table12[[#This Row],[Column7]]+Table12[[#This Row],[Column8]]-Table12[[#This Row],[Column9]]</f>
        <v>0</v>
      </c>
    </row>
    <row r="95" spans="1:11" ht="23.1" customHeight="1" x14ac:dyDescent="0.45">
      <c r="A95" s="52" t="s">
        <v>192</v>
      </c>
      <c r="B95" s="35">
        <v>0</v>
      </c>
      <c r="C95" s="35">
        <v>0</v>
      </c>
      <c r="D95" s="35">
        <v>0</v>
      </c>
      <c r="E95" s="35">
        <f>Table12[[#This Row],[2241775012.0000]]+Table12[[#This Row],[-1852333773.0000]]</f>
        <v>0</v>
      </c>
      <c r="F95" s="35">
        <v>0</v>
      </c>
      <c r="G95" s="62">
        <v>164621303</v>
      </c>
      <c r="H95" s="35">
        <v>0</v>
      </c>
      <c r="I95" s="62">
        <f>Table12[[#This Row],[Column7]]+Table12[[#This Row],[Column8]]</f>
        <v>164621303</v>
      </c>
      <c r="J95" s="55">
        <f>Table12[[#This Row],[2241775012.0000]]+Table12[[#This Row],[-1852333773.0000]]-Table12[[#This Row],[389441239.0000]]</f>
        <v>0</v>
      </c>
      <c r="K95" s="55">
        <f>Table12[[#This Row],[Column7]]+Table12[[#This Row],[Column8]]-Table12[[#This Row],[Column9]]</f>
        <v>0</v>
      </c>
    </row>
    <row r="96" spans="1:11" ht="23.1" customHeight="1" x14ac:dyDescent="0.45">
      <c r="A96" s="52" t="s">
        <v>163</v>
      </c>
      <c r="B96" s="35">
        <v>0</v>
      </c>
      <c r="C96" s="35">
        <v>0</v>
      </c>
      <c r="D96" s="35">
        <v>0</v>
      </c>
      <c r="E96" s="35">
        <f>Table12[[#This Row],[2241775012.0000]]+Table12[[#This Row],[-1852333773.0000]]</f>
        <v>0</v>
      </c>
      <c r="F96" s="35">
        <v>0</v>
      </c>
      <c r="G96" s="62">
        <v>856524236</v>
      </c>
      <c r="H96" s="35">
        <v>0</v>
      </c>
      <c r="I96" s="62">
        <f>Table12[[#This Row],[Column7]]+Table12[[#This Row],[Column8]]</f>
        <v>856524236</v>
      </c>
      <c r="J96" s="55">
        <f>Table12[[#This Row],[2241775012.0000]]+Table12[[#This Row],[-1852333773.0000]]-Table12[[#This Row],[389441239.0000]]</f>
        <v>0</v>
      </c>
      <c r="K96" s="55">
        <f>Table12[[#This Row],[Column7]]+Table12[[#This Row],[Column8]]-Table12[[#This Row],[Column9]]</f>
        <v>0</v>
      </c>
    </row>
    <row r="97" spans="1:11" ht="23.1" customHeight="1" x14ac:dyDescent="0.45">
      <c r="A97" s="52" t="s">
        <v>180</v>
      </c>
      <c r="B97" s="35">
        <v>0</v>
      </c>
      <c r="C97" s="35">
        <v>0</v>
      </c>
      <c r="D97" s="35">
        <v>0</v>
      </c>
      <c r="E97" s="35">
        <f>Table12[[#This Row],[2241775012.0000]]+Table12[[#This Row],[-1852333773.0000]]</f>
        <v>0</v>
      </c>
      <c r="F97" s="35">
        <v>0</v>
      </c>
      <c r="G97" s="62">
        <v>-171424597</v>
      </c>
      <c r="H97" s="35">
        <v>0</v>
      </c>
      <c r="I97" s="62">
        <f>Table12[[#This Row],[Column7]]+Table12[[#This Row],[Column8]]</f>
        <v>-171424597</v>
      </c>
      <c r="J97" s="55">
        <f>Table12[[#This Row],[2241775012.0000]]+Table12[[#This Row],[-1852333773.0000]]-Table12[[#This Row],[389441239.0000]]</f>
        <v>0</v>
      </c>
      <c r="K97" s="55">
        <f>Table12[[#This Row],[Column7]]+Table12[[#This Row],[Column8]]-Table12[[#This Row],[Column9]]</f>
        <v>0</v>
      </c>
    </row>
    <row r="98" spans="1:11" ht="23.1" customHeight="1" x14ac:dyDescent="0.45">
      <c r="A98" s="52" t="s">
        <v>256</v>
      </c>
      <c r="B98" s="35">
        <v>0</v>
      </c>
      <c r="C98" s="35">
        <v>0</v>
      </c>
      <c r="D98" s="35">
        <v>0</v>
      </c>
      <c r="E98" s="35">
        <f>Table12[[#This Row],[2241775012.0000]]+Table12[[#This Row],[-1852333773.0000]]</f>
        <v>0</v>
      </c>
      <c r="F98" s="35">
        <v>0</v>
      </c>
      <c r="G98" s="62">
        <v>740045319</v>
      </c>
      <c r="H98" s="35">
        <v>0</v>
      </c>
      <c r="I98" s="62">
        <f>Table12[[#This Row],[Column7]]+Table12[[#This Row],[Column8]]</f>
        <v>740045319</v>
      </c>
      <c r="J98" s="55">
        <f>Table12[[#This Row],[2241775012.0000]]+Table12[[#This Row],[-1852333773.0000]]-Table12[[#This Row],[389441239.0000]]</f>
        <v>0</v>
      </c>
      <c r="K98" s="55">
        <f>Table12[[#This Row],[Column7]]+Table12[[#This Row],[Column8]]-Table12[[#This Row],[Column9]]</f>
        <v>0</v>
      </c>
    </row>
    <row r="99" spans="1:11" ht="23.1" customHeight="1" x14ac:dyDescent="0.45">
      <c r="A99" s="52" t="s">
        <v>244</v>
      </c>
      <c r="B99" s="35">
        <v>0</v>
      </c>
      <c r="C99" s="35">
        <v>0</v>
      </c>
      <c r="D99" s="35">
        <v>0</v>
      </c>
      <c r="E99" s="35">
        <f>Table12[[#This Row],[2241775012.0000]]+Table12[[#This Row],[-1852333773.0000]]</f>
        <v>0</v>
      </c>
      <c r="F99" s="62">
        <v>29000000</v>
      </c>
      <c r="G99" s="62">
        <v>-13369213672</v>
      </c>
      <c r="H99" s="62">
        <v>13992746182</v>
      </c>
      <c r="I99" s="62">
        <f>Table12[[#This Row],[Column7]]+Table12[[#This Row],[Column8]]</f>
        <v>623532510</v>
      </c>
      <c r="J99" s="55">
        <f>Table12[[#This Row],[2241775012.0000]]+Table12[[#This Row],[-1852333773.0000]]-Table12[[#This Row],[389441239.0000]]</f>
        <v>0</v>
      </c>
      <c r="K99" s="55">
        <f>Table12[[#This Row],[Column7]]+Table12[[#This Row],[Column8]]-Table12[[#This Row],[Column9]]</f>
        <v>0</v>
      </c>
    </row>
    <row r="100" spans="1:11" ht="23.1" customHeight="1" x14ac:dyDescent="0.45">
      <c r="A100" s="52" t="s">
        <v>239</v>
      </c>
      <c r="B100" s="35">
        <v>0</v>
      </c>
      <c r="C100" s="35">
        <v>0</v>
      </c>
      <c r="D100" s="35">
        <v>0</v>
      </c>
      <c r="E100" s="35">
        <f>Table12[[#This Row],[2241775012.0000]]+Table12[[#This Row],[-1852333773.0000]]</f>
        <v>0</v>
      </c>
      <c r="F100" s="62">
        <v>-12000000</v>
      </c>
      <c r="G100" s="62">
        <v>287775241</v>
      </c>
      <c r="H100" s="62">
        <v>-273023179</v>
      </c>
      <c r="I100" s="62">
        <f>Table12[[#This Row],[Column7]]+Table12[[#This Row],[Column8]]</f>
        <v>14752062</v>
      </c>
      <c r="J100" s="55">
        <f>Table12[[#This Row],[2241775012.0000]]+Table12[[#This Row],[-1852333773.0000]]-Table12[[#This Row],[389441239.0000]]</f>
        <v>0</v>
      </c>
      <c r="K100" s="55">
        <f>Table12[[#This Row],[Column7]]+Table12[[#This Row],[Column8]]-Table12[[#This Row],[Column9]]</f>
        <v>0</v>
      </c>
    </row>
    <row r="101" spans="1:11" ht="23.1" customHeight="1" x14ac:dyDescent="0.45">
      <c r="A101" s="52" t="s">
        <v>187</v>
      </c>
      <c r="B101" s="35">
        <v>0</v>
      </c>
      <c r="C101" s="35">
        <v>0</v>
      </c>
      <c r="D101" s="35">
        <v>0</v>
      </c>
      <c r="E101" s="35">
        <f>Table12[[#This Row],[2241775012.0000]]+Table12[[#This Row],[-1852333773.0000]]</f>
        <v>0</v>
      </c>
      <c r="F101" s="35">
        <v>0</v>
      </c>
      <c r="G101" s="62">
        <v>960768880</v>
      </c>
      <c r="H101" s="35">
        <v>0</v>
      </c>
      <c r="I101" s="62">
        <f>Table12[[#This Row],[Column7]]+Table12[[#This Row],[Column8]]</f>
        <v>960768880</v>
      </c>
      <c r="J101" s="55">
        <f>Table12[[#This Row],[2241775012.0000]]+Table12[[#This Row],[-1852333773.0000]]-Table12[[#This Row],[389441239.0000]]</f>
        <v>0</v>
      </c>
      <c r="K101" s="55">
        <f>Table12[[#This Row],[Column7]]+Table12[[#This Row],[Column8]]-Table12[[#This Row],[Column9]]</f>
        <v>0</v>
      </c>
    </row>
    <row r="102" spans="1:11" ht="23.1" customHeight="1" x14ac:dyDescent="0.45">
      <c r="A102" s="52" t="s">
        <v>194</v>
      </c>
      <c r="B102" s="35">
        <v>0</v>
      </c>
      <c r="C102" s="35">
        <v>0</v>
      </c>
      <c r="D102" s="35">
        <v>0</v>
      </c>
      <c r="E102" s="35">
        <f>Table12[[#This Row],[2241775012.0000]]+Table12[[#This Row],[-1852333773.0000]]</f>
        <v>0</v>
      </c>
      <c r="F102" s="62">
        <v>34000000</v>
      </c>
      <c r="G102" s="62">
        <v>515281293</v>
      </c>
      <c r="H102" s="62">
        <v>-2394017111</v>
      </c>
      <c r="I102" s="62">
        <f>Table12[[#This Row],[Column7]]+Table12[[#This Row],[Column8]]</f>
        <v>-1878735818</v>
      </c>
      <c r="J102" s="55">
        <f>Table12[[#This Row],[2241775012.0000]]+Table12[[#This Row],[-1852333773.0000]]-Table12[[#This Row],[389441239.0000]]</f>
        <v>0</v>
      </c>
      <c r="K102" s="55">
        <f>Table12[[#This Row],[Column7]]+Table12[[#This Row],[Column8]]-Table12[[#This Row],[Column9]]</f>
        <v>0</v>
      </c>
    </row>
    <row r="103" spans="1:11" ht="23.1" customHeight="1" x14ac:dyDescent="0.45">
      <c r="A103" s="52" t="s">
        <v>190</v>
      </c>
      <c r="B103" s="35">
        <v>0</v>
      </c>
      <c r="C103" s="35">
        <v>0</v>
      </c>
      <c r="D103" s="35">
        <v>0</v>
      </c>
      <c r="E103" s="35">
        <f>Table12[[#This Row],[2241775012.0000]]+Table12[[#This Row],[-1852333773.0000]]</f>
        <v>0</v>
      </c>
      <c r="F103" s="62">
        <v>-2000</v>
      </c>
      <c r="G103" s="62">
        <v>19277664752</v>
      </c>
      <c r="H103" s="62">
        <v>-18005033345</v>
      </c>
      <c r="I103" s="62">
        <f>Table12[[#This Row],[Column7]]+Table12[[#This Row],[Column8]]</f>
        <v>1272631407</v>
      </c>
      <c r="J103" s="55">
        <f>Table12[[#This Row],[2241775012.0000]]+Table12[[#This Row],[-1852333773.0000]]-Table12[[#This Row],[389441239.0000]]</f>
        <v>0</v>
      </c>
      <c r="K103" s="55">
        <f>Table12[[#This Row],[Column7]]+Table12[[#This Row],[Column8]]-Table12[[#This Row],[Column9]]</f>
        <v>0</v>
      </c>
    </row>
    <row r="104" spans="1:11" ht="23.1" customHeight="1" x14ac:dyDescent="0.45">
      <c r="A104" s="52" t="s">
        <v>177</v>
      </c>
      <c r="B104" s="35">
        <v>0</v>
      </c>
      <c r="C104" s="35">
        <v>0</v>
      </c>
      <c r="D104" s="35">
        <v>0</v>
      </c>
      <c r="E104" s="35">
        <f>Table12[[#This Row],[2241775012.0000]]+Table12[[#This Row],[-1852333773.0000]]</f>
        <v>0</v>
      </c>
      <c r="F104" s="35">
        <v>0</v>
      </c>
      <c r="G104" s="62">
        <v>737886098</v>
      </c>
      <c r="H104" s="35">
        <v>0</v>
      </c>
      <c r="I104" s="62">
        <f>Table12[[#This Row],[Column7]]+Table12[[#This Row],[Column8]]</f>
        <v>737886098</v>
      </c>
      <c r="J104" s="55">
        <f>Table12[[#This Row],[2241775012.0000]]+Table12[[#This Row],[-1852333773.0000]]-Table12[[#This Row],[389441239.0000]]</f>
        <v>0</v>
      </c>
      <c r="K104" s="55">
        <f>Table12[[#This Row],[Column7]]+Table12[[#This Row],[Column8]]-Table12[[#This Row],[Column9]]</f>
        <v>0</v>
      </c>
    </row>
    <row r="105" spans="1:11" ht="23.1" customHeight="1" x14ac:dyDescent="0.45">
      <c r="A105" s="52" t="s">
        <v>221</v>
      </c>
      <c r="B105" s="35">
        <v>0</v>
      </c>
      <c r="C105" s="35">
        <v>0</v>
      </c>
      <c r="D105" s="35">
        <v>0</v>
      </c>
      <c r="E105" s="35">
        <f>Table12[[#This Row],[2241775012.0000]]+Table12[[#This Row],[-1852333773.0000]]</f>
        <v>0</v>
      </c>
      <c r="F105" s="35">
        <v>0</v>
      </c>
      <c r="G105" s="62">
        <v>485540977</v>
      </c>
      <c r="H105" s="35">
        <v>0</v>
      </c>
      <c r="I105" s="62">
        <f>Table12[[#This Row],[Column7]]+Table12[[#This Row],[Column8]]</f>
        <v>485540977</v>
      </c>
      <c r="J105" s="55">
        <f>Table12[[#This Row],[2241775012.0000]]+Table12[[#This Row],[-1852333773.0000]]-Table12[[#This Row],[389441239.0000]]</f>
        <v>0</v>
      </c>
      <c r="K105" s="55">
        <f>Table12[[#This Row],[Column7]]+Table12[[#This Row],[Column8]]-Table12[[#This Row],[Column9]]</f>
        <v>0</v>
      </c>
    </row>
    <row r="106" spans="1:11" ht="23.1" customHeight="1" x14ac:dyDescent="0.45">
      <c r="A106" s="52" t="s">
        <v>227</v>
      </c>
      <c r="B106" s="35">
        <v>0</v>
      </c>
      <c r="C106" s="35">
        <v>0</v>
      </c>
      <c r="D106" s="35">
        <v>0</v>
      </c>
      <c r="E106" s="35">
        <f>Table12[[#This Row],[2241775012.0000]]+Table12[[#This Row],[-1852333773.0000]]</f>
        <v>0</v>
      </c>
      <c r="F106" s="62">
        <v>-500000</v>
      </c>
      <c r="G106" s="62">
        <v>412187532</v>
      </c>
      <c r="H106" s="62">
        <v>-412500000</v>
      </c>
      <c r="I106" s="62">
        <f>Table12[[#This Row],[Column7]]+Table12[[#This Row],[Column8]]</f>
        <v>-312468</v>
      </c>
      <c r="J106" s="55">
        <f>Table12[[#This Row],[2241775012.0000]]+Table12[[#This Row],[-1852333773.0000]]-Table12[[#This Row],[389441239.0000]]</f>
        <v>0</v>
      </c>
      <c r="K106" s="55">
        <f>Table12[[#This Row],[Column7]]+Table12[[#This Row],[Column8]]-Table12[[#This Row],[Column9]]</f>
        <v>0</v>
      </c>
    </row>
    <row r="107" spans="1:11" ht="23.1" customHeight="1" x14ac:dyDescent="0.45">
      <c r="A107" s="52" t="s">
        <v>245</v>
      </c>
      <c r="B107" s="35">
        <v>0</v>
      </c>
      <c r="C107" s="35">
        <v>0</v>
      </c>
      <c r="D107" s="35">
        <v>0</v>
      </c>
      <c r="E107" s="35">
        <f>Table12[[#This Row],[2241775012.0000]]+Table12[[#This Row],[-1852333773.0000]]</f>
        <v>0</v>
      </c>
      <c r="F107" s="62">
        <v>5000000</v>
      </c>
      <c r="G107" s="62">
        <v>-5765551335</v>
      </c>
      <c r="H107" s="62">
        <v>5640722741</v>
      </c>
      <c r="I107" s="62">
        <f>Table12[[#This Row],[Column7]]+Table12[[#This Row],[Column8]]</f>
        <v>-124828594</v>
      </c>
      <c r="J107" s="55">
        <f>Table12[[#This Row],[2241775012.0000]]+Table12[[#This Row],[-1852333773.0000]]-Table12[[#This Row],[389441239.0000]]</f>
        <v>0</v>
      </c>
      <c r="K107" s="55">
        <f>Table12[[#This Row],[Column7]]+Table12[[#This Row],[Column8]]-Table12[[#This Row],[Column9]]</f>
        <v>0</v>
      </c>
    </row>
    <row r="108" spans="1:11" ht="23.1" customHeight="1" x14ac:dyDescent="0.45">
      <c r="A108" s="52" t="s">
        <v>248</v>
      </c>
      <c r="B108" s="35">
        <v>0</v>
      </c>
      <c r="C108" s="35">
        <v>0</v>
      </c>
      <c r="D108" s="35">
        <v>0</v>
      </c>
      <c r="E108" s="35">
        <f>Table12[[#This Row],[2241775012.0000]]+Table12[[#This Row],[-1852333773.0000]]</f>
        <v>0</v>
      </c>
      <c r="F108" s="62">
        <v>1289000</v>
      </c>
      <c r="G108" s="62">
        <v>-123905495</v>
      </c>
      <c r="H108" s="62">
        <v>-190002441</v>
      </c>
      <c r="I108" s="62">
        <f>Table12[[#This Row],[Column7]]+Table12[[#This Row],[Column8]]</f>
        <v>-313907936</v>
      </c>
      <c r="J108" s="55">
        <f>Table12[[#This Row],[2241775012.0000]]+Table12[[#This Row],[-1852333773.0000]]-Table12[[#This Row],[389441239.0000]]</f>
        <v>0</v>
      </c>
      <c r="K108" s="55">
        <f>Table12[[#This Row],[Column7]]+Table12[[#This Row],[Column8]]-Table12[[#This Row],[Column9]]</f>
        <v>0</v>
      </c>
    </row>
    <row r="109" spans="1:11" ht="23.1" customHeight="1" x14ac:dyDescent="0.45">
      <c r="A109" s="52" t="s">
        <v>219</v>
      </c>
      <c r="B109" s="35">
        <v>0</v>
      </c>
      <c r="C109" s="35">
        <v>0</v>
      </c>
      <c r="D109" s="35">
        <v>0</v>
      </c>
      <c r="E109" s="35">
        <f>Table12[[#This Row],[2241775012.0000]]+Table12[[#This Row],[-1852333773.0000]]</f>
        <v>0</v>
      </c>
      <c r="F109" s="62">
        <v>-34000000</v>
      </c>
      <c r="G109" s="62">
        <v>7889621920</v>
      </c>
      <c r="H109" s="62">
        <v>-7897928676</v>
      </c>
      <c r="I109" s="62">
        <f>Table12[[#This Row],[Column7]]+Table12[[#This Row],[Column8]]</f>
        <v>-8306756</v>
      </c>
      <c r="J109" s="55">
        <f>Table12[[#This Row],[2241775012.0000]]+Table12[[#This Row],[-1852333773.0000]]-Table12[[#This Row],[389441239.0000]]</f>
        <v>0</v>
      </c>
      <c r="K109" s="55">
        <f>Table12[[#This Row],[Column7]]+Table12[[#This Row],[Column8]]-Table12[[#This Row],[Column9]]</f>
        <v>0</v>
      </c>
    </row>
    <row r="110" spans="1:11" ht="23.1" customHeight="1" x14ac:dyDescent="0.45">
      <c r="A110" s="52" t="s">
        <v>191</v>
      </c>
      <c r="B110" s="35">
        <v>0</v>
      </c>
      <c r="C110" s="35">
        <v>0</v>
      </c>
      <c r="D110" s="35">
        <v>0</v>
      </c>
      <c r="E110" s="35">
        <f>Table12[[#This Row],[2241775012.0000]]+Table12[[#This Row],[-1852333773.0000]]</f>
        <v>0</v>
      </c>
      <c r="F110" s="62">
        <v>-1092000</v>
      </c>
      <c r="G110" s="62">
        <v>2789702209</v>
      </c>
      <c r="H110" s="62">
        <v>-2791817000</v>
      </c>
      <c r="I110" s="62">
        <f>Table12[[#This Row],[Column7]]+Table12[[#This Row],[Column8]]</f>
        <v>-2114791</v>
      </c>
      <c r="J110" s="55">
        <f>Table12[[#This Row],[2241775012.0000]]+Table12[[#This Row],[-1852333773.0000]]-Table12[[#This Row],[389441239.0000]]</f>
        <v>0</v>
      </c>
      <c r="K110" s="55">
        <f>Table12[[#This Row],[Column7]]+Table12[[#This Row],[Column8]]-Table12[[#This Row],[Column9]]</f>
        <v>0</v>
      </c>
    </row>
    <row r="111" spans="1:11" ht="23.1" customHeight="1" x14ac:dyDescent="0.45">
      <c r="A111" s="52" t="s">
        <v>165</v>
      </c>
      <c r="B111" s="35">
        <v>0</v>
      </c>
      <c r="C111" s="35">
        <v>0</v>
      </c>
      <c r="D111" s="35">
        <v>0</v>
      </c>
      <c r="E111" s="35">
        <f>Table12[[#This Row],[2241775012.0000]]+Table12[[#This Row],[-1852333773.0000]]</f>
        <v>0</v>
      </c>
      <c r="F111" s="35">
        <v>0</v>
      </c>
      <c r="G111" s="62">
        <v>359233480</v>
      </c>
      <c r="H111" s="35">
        <v>0</v>
      </c>
      <c r="I111" s="62">
        <f>Table12[[#This Row],[Column7]]+Table12[[#This Row],[Column8]]</f>
        <v>359233480</v>
      </c>
      <c r="J111" s="55">
        <f>Table12[[#This Row],[2241775012.0000]]+Table12[[#This Row],[-1852333773.0000]]-Table12[[#This Row],[389441239.0000]]</f>
        <v>0</v>
      </c>
      <c r="K111" s="55">
        <f>Table12[[#This Row],[Column7]]+Table12[[#This Row],[Column8]]-Table12[[#This Row],[Column9]]</f>
        <v>0</v>
      </c>
    </row>
    <row r="112" spans="1:11" ht="23.1" customHeight="1" x14ac:dyDescent="0.45">
      <c r="A112" s="52" t="s">
        <v>179</v>
      </c>
      <c r="B112" s="35">
        <v>0</v>
      </c>
      <c r="C112" s="35">
        <v>0</v>
      </c>
      <c r="D112" s="35">
        <v>0</v>
      </c>
      <c r="E112" s="35">
        <f>Table12[[#This Row],[2241775012.0000]]+Table12[[#This Row],[-1852333773.0000]]</f>
        <v>0</v>
      </c>
      <c r="F112" s="35">
        <v>0</v>
      </c>
      <c r="G112" s="62">
        <v>392810062</v>
      </c>
      <c r="H112" s="35">
        <v>0</v>
      </c>
      <c r="I112" s="62">
        <f>Table12[[#This Row],[Column7]]+Table12[[#This Row],[Column8]]</f>
        <v>392810062</v>
      </c>
      <c r="J112" s="55">
        <f>Table12[[#This Row],[2241775012.0000]]+Table12[[#This Row],[-1852333773.0000]]-Table12[[#This Row],[389441239.0000]]</f>
        <v>0</v>
      </c>
      <c r="K112" s="55">
        <f>Table12[[#This Row],[Column7]]+Table12[[#This Row],[Column8]]-Table12[[#This Row],[Column9]]</f>
        <v>0</v>
      </c>
    </row>
    <row r="113" spans="1:11" ht="23.1" customHeight="1" x14ac:dyDescent="0.45">
      <c r="A113" s="52" t="s">
        <v>159</v>
      </c>
      <c r="B113" s="35">
        <v>0</v>
      </c>
      <c r="C113" s="35">
        <v>0</v>
      </c>
      <c r="D113" s="35">
        <v>0</v>
      </c>
      <c r="E113" s="35">
        <f>Table12[[#This Row],[2241775012.0000]]+Table12[[#This Row],[-1852333773.0000]]</f>
        <v>0</v>
      </c>
      <c r="F113" s="62">
        <v>1173000</v>
      </c>
      <c r="G113" s="62">
        <v>-15036884551</v>
      </c>
      <c r="H113" s="62">
        <v>13745389586</v>
      </c>
      <c r="I113" s="62">
        <f>Table12[[#This Row],[Column7]]+Table12[[#This Row],[Column8]]</f>
        <v>-1291494965</v>
      </c>
      <c r="J113" s="55">
        <f>Table12[[#This Row],[2241775012.0000]]+Table12[[#This Row],[-1852333773.0000]]-Table12[[#This Row],[389441239.0000]]</f>
        <v>0</v>
      </c>
      <c r="K113" s="55">
        <f>Table12[[#This Row],[Column7]]+Table12[[#This Row],[Column8]]-Table12[[#This Row],[Column9]]</f>
        <v>0</v>
      </c>
    </row>
    <row r="114" spans="1:11" ht="23.1" customHeight="1" x14ac:dyDescent="0.45">
      <c r="A114" s="52" t="s">
        <v>182</v>
      </c>
      <c r="B114" s="35">
        <v>0</v>
      </c>
      <c r="C114" s="35">
        <v>0</v>
      </c>
      <c r="D114" s="35">
        <v>0</v>
      </c>
      <c r="E114" s="35">
        <f>Table12[[#This Row],[2241775012.0000]]+Table12[[#This Row],[-1852333773.0000]]</f>
        <v>0</v>
      </c>
      <c r="F114" s="35">
        <v>0</v>
      </c>
      <c r="G114" s="62">
        <v>-190398334</v>
      </c>
      <c r="H114" s="62">
        <v>-38</v>
      </c>
      <c r="I114" s="62">
        <f>Table12[[#This Row],[Column7]]+Table12[[#This Row],[Column8]]</f>
        <v>-190398372</v>
      </c>
      <c r="J114" s="55">
        <f>Table12[[#This Row],[2241775012.0000]]+Table12[[#This Row],[-1852333773.0000]]-Table12[[#This Row],[389441239.0000]]</f>
        <v>0</v>
      </c>
      <c r="K114" s="55">
        <f>Table12[[#This Row],[Column7]]+Table12[[#This Row],[Column8]]-Table12[[#This Row],[Column9]]</f>
        <v>0</v>
      </c>
    </row>
    <row r="115" spans="1:11" ht="23.1" customHeight="1" x14ac:dyDescent="0.45">
      <c r="A115" s="52" t="s">
        <v>181</v>
      </c>
      <c r="B115" s="35">
        <v>0</v>
      </c>
      <c r="C115" s="35">
        <v>0</v>
      </c>
      <c r="D115" s="35">
        <v>0</v>
      </c>
      <c r="E115" s="35">
        <f>Table12[[#This Row],[2241775012.0000]]+Table12[[#This Row],[-1852333773.0000]]</f>
        <v>0</v>
      </c>
      <c r="F115" s="35">
        <v>0</v>
      </c>
      <c r="G115" s="62">
        <v>-40118929</v>
      </c>
      <c r="H115" s="62">
        <v>-34</v>
      </c>
      <c r="I115" s="62">
        <f>Table12[[#This Row],[Column7]]+Table12[[#This Row],[Column8]]</f>
        <v>-40118963</v>
      </c>
      <c r="J115" s="55">
        <f>Table12[[#This Row],[2241775012.0000]]+Table12[[#This Row],[-1852333773.0000]]-Table12[[#This Row],[389441239.0000]]</f>
        <v>0</v>
      </c>
      <c r="K115" s="55">
        <f>Table12[[#This Row],[Column7]]+Table12[[#This Row],[Column8]]-Table12[[#This Row],[Column9]]</f>
        <v>0</v>
      </c>
    </row>
    <row r="116" spans="1:11" ht="23.1" customHeight="1" x14ac:dyDescent="0.45">
      <c r="A116" s="52" t="s">
        <v>168</v>
      </c>
      <c r="B116" s="35">
        <v>0</v>
      </c>
      <c r="C116" s="35">
        <v>0</v>
      </c>
      <c r="D116" s="35">
        <v>0</v>
      </c>
      <c r="E116" s="35">
        <f>Table12[[#This Row],[2241775012.0000]]+Table12[[#This Row],[-1852333773.0000]]</f>
        <v>0</v>
      </c>
      <c r="F116" s="35">
        <v>0</v>
      </c>
      <c r="G116" s="62">
        <v>2678031735</v>
      </c>
      <c r="H116" s="62">
        <v>-53</v>
      </c>
      <c r="I116" s="62">
        <f>Table12[[#This Row],[Column7]]+Table12[[#This Row],[Column8]]</f>
        <v>2678031682</v>
      </c>
      <c r="J116" s="55">
        <f>Table12[[#This Row],[2241775012.0000]]+Table12[[#This Row],[-1852333773.0000]]-Table12[[#This Row],[389441239.0000]]</f>
        <v>0</v>
      </c>
      <c r="K116" s="55">
        <f>Table12[[#This Row],[Column7]]+Table12[[#This Row],[Column8]]-Table12[[#This Row],[Column9]]</f>
        <v>0</v>
      </c>
    </row>
    <row r="117" spans="1:11" ht="23.1" customHeight="1" x14ac:dyDescent="0.45">
      <c r="A117" s="52" t="s">
        <v>183</v>
      </c>
      <c r="B117" s="35">
        <v>0</v>
      </c>
      <c r="C117" s="35">
        <v>0</v>
      </c>
      <c r="D117" s="35">
        <v>0</v>
      </c>
      <c r="E117" s="35">
        <f>Table12[[#This Row],[2241775012.0000]]+Table12[[#This Row],[-1852333773.0000]]</f>
        <v>0</v>
      </c>
      <c r="F117" s="62">
        <v>26000000</v>
      </c>
      <c r="G117" s="62">
        <v>3844559490</v>
      </c>
      <c r="H117" s="62">
        <v>-3033195580</v>
      </c>
      <c r="I117" s="62">
        <f>Table12[[#This Row],[Column7]]+Table12[[#This Row],[Column8]]</f>
        <v>811363910</v>
      </c>
      <c r="J117" s="55">
        <f>Table12[[#This Row],[2241775012.0000]]+Table12[[#This Row],[-1852333773.0000]]-Table12[[#This Row],[389441239.0000]]</f>
        <v>0</v>
      </c>
      <c r="K117" s="55">
        <f>Table12[[#This Row],[Column7]]+Table12[[#This Row],[Column8]]-Table12[[#This Row],[Column9]]</f>
        <v>0</v>
      </c>
    </row>
    <row r="118" spans="1:11" ht="23.1" customHeight="1" x14ac:dyDescent="0.45">
      <c r="A118" s="52" t="s">
        <v>260</v>
      </c>
      <c r="B118" s="35">
        <v>0</v>
      </c>
      <c r="C118" s="35">
        <v>0</v>
      </c>
      <c r="D118" s="35">
        <v>0</v>
      </c>
      <c r="E118" s="35">
        <f>Table12[[#This Row],[2241775012.0000]]+Table12[[#This Row],[-1852333773.0000]]</f>
        <v>0</v>
      </c>
      <c r="F118" s="62">
        <v>38000000</v>
      </c>
      <c r="G118" s="62">
        <v>304162596</v>
      </c>
      <c r="H118" s="62">
        <v>-3131421118</v>
      </c>
      <c r="I118" s="62">
        <f>Table12[[#This Row],[Column7]]+Table12[[#This Row],[Column8]]</f>
        <v>-2827258522</v>
      </c>
      <c r="J118" s="55">
        <f>Table12[[#This Row],[2241775012.0000]]+Table12[[#This Row],[-1852333773.0000]]-Table12[[#This Row],[389441239.0000]]</f>
        <v>0</v>
      </c>
      <c r="K118" s="55">
        <f>Table12[[#This Row],[Column7]]+Table12[[#This Row],[Column8]]-Table12[[#This Row],[Column9]]</f>
        <v>0</v>
      </c>
    </row>
    <row r="119" spans="1:11" ht="23.1" customHeight="1" x14ac:dyDescent="0.45">
      <c r="A119" s="52" t="s">
        <v>238</v>
      </c>
      <c r="B119" s="35">
        <v>0</v>
      </c>
      <c r="C119" s="35">
        <v>0</v>
      </c>
      <c r="D119" s="35">
        <v>0</v>
      </c>
      <c r="E119" s="35">
        <f>Table12[[#This Row],[2241775012.0000]]+Table12[[#This Row],[-1852333773.0000]]</f>
        <v>0</v>
      </c>
      <c r="F119" s="35">
        <v>0</v>
      </c>
      <c r="G119" s="62">
        <v>113846987</v>
      </c>
      <c r="H119" s="35">
        <v>0</v>
      </c>
      <c r="I119" s="62">
        <f>Table12[[#This Row],[Column7]]+Table12[[#This Row],[Column8]]</f>
        <v>113846987</v>
      </c>
      <c r="J119" s="55">
        <f>Table12[[#This Row],[2241775012.0000]]+Table12[[#This Row],[-1852333773.0000]]-Table12[[#This Row],[389441239.0000]]</f>
        <v>0</v>
      </c>
      <c r="K119" s="55">
        <f>Table12[[#This Row],[Column7]]+Table12[[#This Row],[Column8]]-Table12[[#This Row],[Column9]]</f>
        <v>0</v>
      </c>
    </row>
    <row r="120" spans="1:11" ht="23.1" customHeight="1" x14ac:dyDescent="0.45">
      <c r="A120" s="52" t="s">
        <v>236</v>
      </c>
      <c r="B120" s="35">
        <v>0</v>
      </c>
      <c r="C120" s="35">
        <v>0</v>
      </c>
      <c r="D120" s="35">
        <v>0</v>
      </c>
      <c r="E120" s="35">
        <f>Table12[[#This Row],[2241775012.0000]]+Table12[[#This Row],[-1852333773.0000]]</f>
        <v>0</v>
      </c>
      <c r="F120" s="35">
        <v>0</v>
      </c>
      <c r="G120" s="62">
        <v>271502184</v>
      </c>
      <c r="H120" s="35">
        <v>0</v>
      </c>
      <c r="I120" s="62">
        <f>Table12[[#This Row],[Column7]]+Table12[[#This Row],[Column8]]</f>
        <v>271502184</v>
      </c>
      <c r="J120" s="55">
        <f>Table12[[#This Row],[2241775012.0000]]+Table12[[#This Row],[-1852333773.0000]]-Table12[[#This Row],[389441239.0000]]</f>
        <v>0</v>
      </c>
      <c r="K120" s="55">
        <f>Table12[[#This Row],[Column7]]+Table12[[#This Row],[Column8]]-Table12[[#This Row],[Column9]]</f>
        <v>0</v>
      </c>
    </row>
    <row r="121" spans="1:11" ht="23.1" customHeight="1" x14ac:dyDescent="0.45">
      <c r="A121" s="52" t="s">
        <v>229</v>
      </c>
      <c r="B121" s="35">
        <v>0</v>
      </c>
      <c r="C121" s="35">
        <v>0</v>
      </c>
      <c r="D121" s="35">
        <v>0</v>
      </c>
      <c r="E121" s="35">
        <f>Table12[[#This Row],[2241775012.0000]]+Table12[[#This Row],[-1852333773.0000]]</f>
        <v>0</v>
      </c>
      <c r="F121" s="62">
        <v>-81000</v>
      </c>
      <c r="G121" s="62">
        <v>210440471</v>
      </c>
      <c r="H121" s="62">
        <v>-210600000</v>
      </c>
      <c r="I121" s="62">
        <f>Table12[[#This Row],[Column7]]+Table12[[#This Row],[Column8]]</f>
        <v>-159529</v>
      </c>
      <c r="J121" s="55">
        <f>Table12[[#This Row],[2241775012.0000]]+Table12[[#This Row],[-1852333773.0000]]-Table12[[#This Row],[389441239.0000]]</f>
        <v>0</v>
      </c>
      <c r="K121" s="55">
        <f>Table12[[#This Row],[Column7]]+Table12[[#This Row],[Column8]]-Table12[[#This Row],[Column9]]</f>
        <v>0</v>
      </c>
    </row>
    <row r="122" spans="1:11" ht="23.1" customHeight="1" x14ac:dyDescent="0.45">
      <c r="A122" s="52" t="s">
        <v>185</v>
      </c>
      <c r="B122" s="35">
        <v>0</v>
      </c>
      <c r="C122" s="35">
        <v>0</v>
      </c>
      <c r="D122" s="35">
        <v>0</v>
      </c>
      <c r="E122" s="35">
        <f>Table12[[#This Row],[2241775012.0000]]+Table12[[#This Row],[-1852333773.0000]]</f>
        <v>0</v>
      </c>
      <c r="F122" s="35">
        <v>0</v>
      </c>
      <c r="G122" s="62">
        <v>369230959</v>
      </c>
      <c r="H122" s="35">
        <v>0</v>
      </c>
      <c r="I122" s="62">
        <f>Table12[[#This Row],[Column7]]+Table12[[#This Row],[Column8]]</f>
        <v>369230959</v>
      </c>
      <c r="J122" s="55">
        <f>Table12[[#This Row],[2241775012.0000]]+Table12[[#This Row],[-1852333773.0000]]-Table12[[#This Row],[389441239.0000]]</f>
        <v>0</v>
      </c>
      <c r="K122" s="55">
        <f>Table12[[#This Row],[Column7]]+Table12[[#This Row],[Column8]]-Table12[[#This Row],[Column9]]</f>
        <v>0</v>
      </c>
    </row>
    <row r="123" spans="1:11" ht="23.1" customHeight="1" x14ac:dyDescent="0.45">
      <c r="A123" s="52" t="s">
        <v>188</v>
      </c>
      <c r="B123" s="35">
        <v>0</v>
      </c>
      <c r="C123" s="35">
        <v>0</v>
      </c>
      <c r="D123" s="35">
        <v>0</v>
      </c>
      <c r="E123" s="35">
        <f>Table12[[#This Row],[2241775012.0000]]+Table12[[#This Row],[-1852333773.0000]]</f>
        <v>0</v>
      </c>
      <c r="F123" s="62">
        <v>-118000</v>
      </c>
      <c r="G123" s="62">
        <v>1239374047</v>
      </c>
      <c r="H123" s="62">
        <v>-1175330966</v>
      </c>
      <c r="I123" s="62">
        <f>Table12[[#This Row],[Column7]]+Table12[[#This Row],[Column8]]</f>
        <v>64043081</v>
      </c>
      <c r="J123" s="55">
        <f>Table12[[#This Row],[2241775012.0000]]+Table12[[#This Row],[-1852333773.0000]]-Table12[[#This Row],[389441239.0000]]</f>
        <v>0</v>
      </c>
      <c r="K123" s="55">
        <f>Table12[[#This Row],[Column7]]+Table12[[#This Row],[Column8]]-Table12[[#This Row],[Column9]]</f>
        <v>0</v>
      </c>
    </row>
    <row r="124" spans="1:11" ht="23.1" customHeight="1" x14ac:dyDescent="0.45">
      <c r="A124" s="52" t="s">
        <v>172</v>
      </c>
      <c r="B124" s="35">
        <v>0</v>
      </c>
      <c r="C124" s="35">
        <v>0</v>
      </c>
      <c r="D124" s="35">
        <v>0</v>
      </c>
      <c r="E124" s="35">
        <f>Table12[[#This Row],[2241775012.0000]]+Table12[[#This Row],[-1852333773.0000]]</f>
        <v>0</v>
      </c>
      <c r="F124" s="35">
        <v>0</v>
      </c>
      <c r="G124" s="62">
        <v>119035353</v>
      </c>
      <c r="H124" s="35">
        <v>0</v>
      </c>
      <c r="I124" s="62">
        <f>Table12[[#This Row],[Column7]]+Table12[[#This Row],[Column8]]</f>
        <v>119035353</v>
      </c>
      <c r="J124" s="55">
        <f>Table12[[#This Row],[2241775012.0000]]+Table12[[#This Row],[-1852333773.0000]]-Table12[[#This Row],[389441239.0000]]</f>
        <v>0</v>
      </c>
      <c r="K124" s="55">
        <f>Table12[[#This Row],[Column7]]+Table12[[#This Row],[Column8]]-Table12[[#This Row],[Column9]]</f>
        <v>0</v>
      </c>
    </row>
    <row r="125" spans="1:11" ht="23.1" customHeight="1" x14ac:dyDescent="0.45">
      <c r="A125" s="52" t="s">
        <v>173</v>
      </c>
      <c r="B125" s="35">
        <v>0</v>
      </c>
      <c r="C125" s="35">
        <v>0</v>
      </c>
      <c r="D125" s="35">
        <v>0</v>
      </c>
      <c r="E125" s="35">
        <f>Table12[[#This Row],[2241775012.0000]]+Table12[[#This Row],[-1852333773.0000]]</f>
        <v>0</v>
      </c>
      <c r="F125" s="62">
        <v>1000000</v>
      </c>
      <c r="G125" s="62">
        <v>599266390</v>
      </c>
      <c r="H125" s="62">
        <v>-13009844</v>
      </c>
      <c r="I125" s="62">
        <f>Table12[[#This Row],[Column7]]+Table12[[#This Row],[Column8]]</f>
        <v>586256546</v>
      </c>
      <c r="J125" s="55">
        <f>Table12[[#This Row],[2241775012.0000]]+Table12[[#This Row],[-1852333773.0000]]-Table12[[#This Row],[389441239.0000]]</f>
        <v>0</v>
      </c>
      <c r="K125" s="55">
        <f>Table12[[#This Row],[Column7]]+Table12[[#This Row],[Column8]]-Table12[[#This Row],[Column9]]</f>
        <v>0</v>
      </c>
    </row>
    <row r="126" spans="1:11" ht="23.1" customHeight="1" x14ac:dyDescent="0.45">
      <c r="A126" s="52" t="s">
        <v>267</v>
      </c>
      <c r="B126" s="35">
        <v>0</v>
      </c>
      <c r="C126" s="35">
        <v>0</v>
      </c>
      <c r="D126" s="35">
        <v>0</v>
      </c>
      <c r="E126" s="35">
        <f>Table12[[#This Row],[2241775012.0000]]+Table12[[#This Row],[-1852333773.0000]]</f>
        <v>0</v>
      </c>
      <c r="F126" s="35">
        <v>0</v>
      </c>
      <c r="G126" s="62">
        <v>1889031353</v>
      </c>
      <c r="H126" s="35">
        <v>0</v>
      </c>
      <c r="I126" s="62">
        <f>Table12[[#This Row],[Column7]]+Table12[[#This Row],[Column8]]</f>
        <v>1889031353</v>
      </c>
      <c r="J126" s="55">
        <f>Table12[[#This Row],[2241775012.0000]]+Table12[[#This Row],[-1852333773.0000]]-Table12[[#This Row],[389441239.0000]]</f>
        <v>0</v>
      </c>
      <c r="K126" s="55">
        <f>Table12[[#This Row],[Column7]]+Table12[[#This Row],[Column8]]-Table12[[#This Row],[Column9]]</f>
        <v>0</v>
      </c>
    </row>
    <row r="127" spans="1:11" ht="23.1" customHeight="1" x14ac:dyDescent="0.45">
      <c r="A127" s="52" t="s">
        <v>189</v>
      </c>
      <c r="B127" s="35">
        <v>0</v>
      </c>
      <c r="C127" s="35">
        <v>0</v>
      </c>
      <c r="D127" s="35">
        <v>0</v>
      </c>
      <c r="E127" s="35">
        <f>Table12[[#This Row],[2241775012.0000]]+Table12[[#This Row],[-1852333773.0000]]</f>
        <v>0</v>
      </c>
      <c r="F127" s="35">
        <v>0</v>
      </c>
      <c r="G127" s="62">
        <v>2595921019</v>
      </c>
      <c r="H127" s="35">
        <v>0</v>
      </c>
      <c r="I127" s="62">
        <f>Table12[[#This Row],[Column7]]+Table12[[#This Row],[Column8]]</f>
        <v>2595921019</v>
      </c>
      <c r="J127" s="55">
        <f>Table12[[#This Row],[2241775012.0000]]+Table12[[#This Row],[-1852333773.0000]]-Table12[[#This Row],[389441239.0000]]</f>
        <v>0</v>
      </c>
      <c r="K127" s="55">
        <f>Table12[[#This Row],[Column7]]+Table12[[#This Row],[Column8]]-Table12[[#This Row],[Column9]]</f>
        <v>0</v>
      </c>
    </row>
    <row r="128" spans="1:11" ht="23.1" customHeight="1" x14ac:dyDescent="0.45">
      <c r="A128" s="52" t="s">
        <v>176</v>
      </c>
      <c r="B128" s="35">
        <v>0</v>
      </c>
      <c r="C128" s="35">
        <v>0</v>
      </c>
      <c r="D128" s="35">
        <v>0</v>
      </c>
      <c r="E128" s="35">
        <f>Table12[[#This Row],[2241775012.0000]]+Table12[[#This Row],[-1852333773.0000]]</f>
        <v>0</v>
      </c>
      <c r="F128" s="35">
        <v>0</v>
      </c>
      <c r="G128" s="62">
        <v>346684146</v>
      </c>
      <c r="H128" s="35">
        <v>0</v>
      </c>
      <c r="I128" s="62">
        <f>Table12[[#This Row],[Column7]]+Table12[[#This Row],[Column8]]</f>
        <v>346684146</v>
      </c>
      <c r="J128" s="55">
        <f>Table12[[#This Row],[2241775012.0000]]+Table12[[#This Row],[-1852333773.0000]]-Table12[[#This Row],[389441239.0000]]</f>
        <v>0</v>
      </c>
      <c r="K128" s="55">
        <f>Table12[[#This Row],[Column7]]+Table12[[#This Row],[Column8]]-Table12[[#This Row],[Column9]]</f>
        <v>0</v>
      </c>
    </row>
    <row r="129" spans="1:11" ht="23.1" customHeight="1" x14ac:dyDescent="0.45">
      <c r="A129" s="52" t="s">
        <v>166</v>
      </c>
      <c r="B129" s="35">
        <v>0</v>
      </c>
      <c r="C129" s="35">
        <v>0</v>
      </c>
      <c r="D129" s="35">
        <v>0</v>
      </c>
      <c r="E129" s="35">
        <f>Table12[[#This Row],[2241775012.0000]]+Table12[[#This Row],[-1852333773.0000]]</f>
        <v>0</v>
      </c>
      <c r="F129" s="35">
        <v>0</v>
      </c>
      <c r="G129" s="62">
        <v>4252680</v>
      </c>
      <c r="H129" s="35">
        <v>0</v>
      </c>
      <c r="I129" s="62">
        <f>Table12[[#This Row],[Column7]]+Table12[[#This Row],[Column8]]</f>
        <v>4252680</v>
      </c>
      <c r="J129" s="55">
        <f>Table12[[#This Row],[2241775012.0000]]+Table12[[#This Row],[-1852333773.0000]]-Table12[[#This Row],[389441239.0000]]</f>
        <v>0</v>
      </c>
      <c r="K129" s="55">
        <f>Table12[[#This Row],[Column7]]+Table12[[#This Row],[Column8]]-Table12[[#This Row],[Column9]]</f>
        <v>0</v>
      </c>
    </row>
    <row r="130" spans="1:11" ht="23.1" customHeight="1" x14ac:dyDescent="0.45">
      <c r="A130" s="52" t="s">
        <v>195</v>
      </c>
      <c r="B130" s="35">
        <v>0</v>
      </c>
      <c r="C130" s="35">
        <v>0</v>
      </c>
      <c r="D130" s="35">
        <v>0</v>
      </c>
      <c r="E130" s="35">
        <f>Table12[[#This Row],[2241775012.0000]]+Table12[[#This Row],[-1852333773.0000]]</f>
        <v>0</v>
      </c>
      <c r="F130" s="35">
        <v>0</v>
      </c>
      <c r="G130" s="62">
        <v>576695405</v>
      </c>
      <c r="H130" s="35">
        <v>0</v>
      </c>
      <c r="I130" s="62">
        <f>Table12[[#This Row],[Column7]]+Table12[[#This Row],[Column8]]</f>
        <v>576695405</v>
      </c>
      <c r="J130" s="55">
        <f>Table12[[#This Row],[2241775012.0000]]+Table12[[#This Row],[-1852333773.0000]]-Table12[[#This Row],[389441239.0000]]</f>
        <v>0</v>
      </c>
      <c r="K130" s="55">
        <f>Table12[[#This Row],[Column7]]+Table12[[#This Row],[Column8]]-Table12[[#This Row],[Column9]]</f>
        <v>0</v>
      </c>
    </row>
    <row r="131" spans="1:11" ht="23.1" customHeight="1" x14ac:dyDescent="0.45">
      <c r="A131" s="52" t="s">
        <v>186</v>
      </c>
      <c r="B131" s="35">
        <v>0</v>
      </c>
      <c r="C131" s="35">
        <v>0</v>
      </c>
      <c r="D131" s="35">
        <v>0</v>
      </c>
      <c r="E131" s="35">
        <f>Table12[[#This Row],[2241775012.0000]]+Table12[[#This Row],[-1852333773.0000]]</f>
        <v>0</v>
      </c>
      <c r="F131" s="62">
        <v>21000000</v>
      </c>
      <c r="G131" s="62">
        <v>2774153593</v>
      </c>
      <c r="H131" s="62">
        <v>-149995775</v>
      </c>
      <c r="I131" s="62">
        <f>Table12[[#This Row],[Column7]]+Table12[[#This Row],[Column8]]</f>
        <v>2624157818</v>
      </c>
      <c r="J131" s="55">
        <f>Table12[[#This Row],[2241775012.0000]]+Table12[[#This Row],[-1852333773.0000]]-Table12[[#This Row],[389441239.0000]]</f>
        <v>0</v>
      </c>
      <c r="K131" s="55">
        <f>Table12[[#This Row],[Column7]]+Table12[[#This Row],[Column8]]-Table12[[#This Row],[Column9]]</f>
        <v>0</v>
      </c>
    </row>
    <row r="132" spans="1:11" ht="23.1" customHeight="1" x14ac:dyDescent="0.45">
      <c r="A132" s="52" t="s">
        <v>228</v>
      </c>
      <c r="B132" s="35">
        <v>0</v>
      </c>
      <c r="C132" s="35">
        <v>0</v>
      </c>
      <c r="D132" s="35">
        <v>0</v>
      </c>
      <c r="E132" s="35">
        <f>Table12[[#This Row],[2241775012.0000]]+Table12[[#This Row],[-1852333773.0000]]</f>
        <v>0</v>
      </c>
      <c r="F132" s="35">
        <v>0</v>
      </c>
      <c r="G132" s="62">
        <v>276823451</v>
      </c>
      <c r="H132" s="35">
        <v>0</v>
      </c>
      <c r="I132" s="62">
        <f>Table12[[#This Row],[Column7]]+Table12[[#This Row],[Column8]]</f>
        <v>276823451</v>
      </c>
      <c r="J132" s="55">
        <f>Table12[[#This Row],[2241775012.0000]]+Table12[[#This Row],[-1852333773.0000]]-Table12[[#This Row],[389441239.0000]]</f>
        <v>0</v>
      </c>
      <c r="K132" s="55">
        <f>Table12[[#This Row],[Column7]]+Table12[[#This Row],[Column8]]-Table12[[#This Row],[Column9]]</f>
        <v>0</v>
      </c>
    </row>
    <row r="133" spans="1:11" ht="23.1" customHeight="1" x14ac:dyDescent="0.45">
      <c r="A133" s="52" t="s">
        <v>235</v>
      </c>
      <c r="B133" s="35">
        <v>0</v>
      </c>
      <c r="C133" s="35">
        <v>0</v>
      </c>
      <c r="D133" s="35">
        <v>0</v>
      </c>
      <c r="E133" s="35">
        <f>Table12[[#This Row],[2241775012.0000]]+Table12[[#This Row],[-1852333773.0000]]</f>
        <v>0</v>
      </c>
      <c r="F133" s="62">
        <v>-12000000</v>
      </c>
      <c r="G133" s="62">
        <v>3125476083</v>
      </c>
      <c r="H133" s="62">
        <v>-2584000000</v>
      </c>
      <c r="I133" s="62">
        <f>Table12[[#This Row],[Column7]]+Table12[[#This Row],[Column8]]</f>
        <v>541476083</v>
      </c>
      <c r="J133" s="55">
        <f>Table12[[#This Row],[2241775012.0000]]+Table12[[#This Row],[-1852333773.0000]]-Table12[[#This Row],[389441239.0000]]</f>
        <v>0</v>
      </c>
      <c r="K133" s="55">
        <f>Table12[[#This Row],[Column7]]+Table12[[#This Row],[Column8]]-Table12[[#This Row],[Column9]]</f>
        <v>0</v>
      </c>
    </row>
    <row r="134" spans="1:11" ht="23.1" customHeight="1" x14ac:dyDescent="0.45">
      <c r="A134" s="52" t="s">
        <v>226</v>
      </c>
      <c r="B134" s="35">
        <v>0</v>
      </c>
      <c r="C134" s="35">
        <v>0</v>
      </c>
      <c r="D134" s="35">
        <v>0</v>
      </c>
      <c r="E134" s="35">
        <f>Table12[[#This Row],[2241775012.0000]]+Table12[[#This Row],[-1852333773.0000]]</f>
        <v>0</v>
      </c>
      <c r="F134" s="35">
        <v>0</v>
      </c>
      <c r="G134" s="62">
        <v>779131</v>
      </c>
      <c r="H134" s="35">
        <v>0</v>
      </c>
      <c r="I134" s="62">
        <f>Table12[[#This Row],[Column7]]+Table12[[#This Row],[Column8]]</f>
        <v>779131</v>
      </c>
      <c r="J134" s="55">
        <f>Table12[[#This Row],[2241775012.0000]]+Table12[[#This Row],[-1852333773.0000]]-Table12[[#This Row],[389441239.0000]]</f>
        <v>0</v>
      </c>
      <c r="K134" s="55">
        <f>Table12[[#This Row],[Column7]]+Table12[[#This Row],[Column8]]-Table12[[#This Row],[Column9]]</f>
        <v>0</v>
      </c>
    </row>
    <row r="135" spans="1:11" ht="23.1" customHeight="1" x14ac:dyDescent="0.45">
      <c r="A135" s="52" t="s">
        <v>170</v>
      </c>
      <c r="B135" s="35">
        <v>0</v>
      </c>
      <c r="C135" s="35">
        <v>0</v>
      </c>
      <c r="D135" s="35">
        <v>0</v>
      </c>
      <c r="E135" s="35">
        <f>Table12[[#This Row],[2241775012.0000]]+Table12[[#This Row],[-1852333773.0000]]</f>
        <v>0</v>
      </c>
      <c r="F135" s="35">
        <v>0</v>
      </c>
      <c r="G135" s="62">
        <v>700992574</v>
      </c>
      <c r="H135" s="35">
        <v>0</v>
      </c>
      <c r="I135" s="62">
        <f>Table12[[#This Row],[Column7]]+Table12[[#This Row],[Column8]]</f>
        <v>700992574</v>
      </c>
      <c r="J135" s="55">
        <f>Table12[[#This Row],[2241775012.0000]]+Table12[[#This Row],[-1852333773.0000]]-Table12[[#This Row],[389441239.0000]]</f>
        <v>0</v>
      </c>
      <c r="K135" s="55">
        <f>Table12[[#This Row],[Column7]]+Table12[[#This Row],[Column8]]-Table12[[#This Row],[Column9]]</f>
        <v>0</v>
      </c>
    </row>
    <row r="136" spans="1:11" ht="23.1" customHeight="1" x14ac:dyDescent="0.45">
      <c r="A136" s="52" t="s">
        <v>184</v>
      </c>
      <c r="B136" s="35">
        <v>0</v>
      </c>
      <c r="C136" s="35">
        <v>0</v>
      </c>
      <c r="D136" s="35">
        <v>0</v>
      </c>
      <c r="E136" s="35">
        <f>Table12[[#This Row],[2241775012.0000]]+Table12[[#This Row],[-1852333773.0000]]</f>
        <v>0</v>
      </c>
      <c r="F136" s="35">
        <v>0</v>
      </c>
      <c r="G136" s="62">
        <v>1109932761</v>
      </c>
      <c r="H136" s="35">
        <v>0</v>
      </c>
      <c r="I136" s="62">
        <f>Table12[[#This Row],[Column7]]+Table12[[#This Row],[Column8]]</f>
        <v>1109932761</v>
      </c>
      <c r="J136" s="55">
        <f>Table12[[#This Row],[2241775012.0000]]+Table12[[#This Row],[-1852333773.0000]]-Table12[[#This Row],[389441239.0000]]</f>
        <v>0</v>
      </c>
      <c r="K136" s="55">
        <f>Table12[[#This Row],[Column7]]+Table12[[#This Row],[Column8]]-Table12[[#This Row],[Column9]]</f>
        <v>0</v>
      </c>
    </row>
    <row r="137" spans="1:11" ht="23.1" customHeight="1" x14ac:dyDescent="0.45">
      <c r="A137" s="52" t="s">
        <v>193</v>
      </c>
      <c r="B137" s="35">
        <v>0</v>
      </c>
      <c r="C137" s="35">
        <v>0</v>
      </c>
      <c r="D137" s="35">
        <v>0</v>
      </c>
      <c r="E137" s="35">
        <f>Table12[[#This Row],[2241775012.0000]]+Table12[[#This Row],[-1852333773.0000]]</f>
        <v>0</v>
      </c>
      <c r="F137" s="35">
        <v>0</v>
      </c>
      <c r="G137" s="62">
        <v>566935332</v>
      </c>
      <c r="H137" s="35">
        <v>0</v>
      </c>
      <c r="I137" s="62">
        <f>Table12[[#This Row],[Column7]]+Table12[[#This Row],[Column8]]</f>
        <v>566935332</v>
      </c>
      <c r="J137" s="55">
        <f>Table12[[#This Row],[2241775012.0000]]+Table12[[#This Row],[-1852333773.0000]]-Table12[[#This Row],[389441239.0000]]</f>
        <v>0</v>
      </c>
      <c r="K137" s="55">
        <f>Table12[[#This Row],[Column7]]+Table12[[#This Row],[Column8]]-Table12[[#This Row],[Column9]]</f>
        <v>0</v>
      </c>
    </row>
    <row r="138" spans="1:11" ht="23.1" customHeight="1" x14ac:dyDescent="0.45">
      <c r="A138" s="52" t="s">
        <v>171</v>
      </c>
      <c r="B138" s="35">
        <v>0</v>
      </c>
      <c r="C138" s="35">
        <v>0</v>
      </c>
      <c r="D138" s="35">
        <v>0</v>
      </c>
      <c r="E138" s="35">
        <f>Table12[[#This Row],[2241775012.0000]]+Table12[[#This Row],[-1852333773.0000]]</f>
        <v>0</v>
      </c>
      <c r="F138" s="35">
        <v>0</v>
      </c>
      <c r="G138" s="62">
        <v>2410184245</v>
      </c>
      <c r="H138" s="35">
        <v>0</v>
      </c>
      <c r="I138" s="62">
        <f>Table12[[#This Row],[Column7]]+Table12[[#This Row],[Column8]]</f>
        <v>2410184245</v>
      </c>
      <c r="J138" s="55">
        <f>Table12[[#This Row],[2241775012.0000]]+Table12[[#This Row],[-1852333773.0000]]-Table12[[#This Row],[389441239.0000]]</f>
        <v>0</v>
      </c>
      <c r="K138" s="55">
        <f>Table12[[#This Row],[Column7]]+Table12[[#This Row],[Column8]]-Table12[[#This Row],[Column9]]</f>
        <v>0</v>
      </c>
    </row>
    <row r="139" spans="1:11" ht="23.1" customHeight="1" x14ac:dyDescent="0.45">
      <c r="A139" s="52" t="s">
        <v>164</v>
      </c>
      <c r="B139" s="35">
        <v>0</v>
      </c>
      <c r="C139" s="35">
        <v>0</v>
      </c>
      <c r="D139" s="35">
        <v>0</v>
      </c>
      <c r="E139" s="35">
        <f>Table12[[#This Row],[2241775012.0000]]+Table12[[#This Row],[-1852333773.0000]]</f>
        <v>0</v>
      </c>
      <c r="F139" s="35">
        <v>0</v>
      </c>
      <c r="G139" s="62">
        <v>1601150357</v>
      </c>
      <c r="H139" s="35">
        <v>0</v>
      </c>
      <c r="I139" s="62">
        <f>Table12[[#This Row],[Column7]]+Table12[[#This Row],[Column8]]</f>
        <v>1601150357</v>
      </c>
      <c r="J139" s="55">
        <f>Table12[[#This Row],[2241775012.0000]]+Table12[[#This Row],[-1852333773.0000]]-Table12[[#This Row],[389441239.0000]]</f>
        <v>0</v>
      </c>
      <c r="K139" s="55">
        <f>Table12[[#This Row],[Column7]]+Table12[[#This Row],[Column8]]-Table12[[#This Row],[Column9]]</f>
        <v>0</v>
      </c>
    </row>
    <row r="140" spans="1:11" ht="23.1" customHeight="1" x14ac:dyDescent="0.45">
      <c r="A140" s="52" t="s">
        <v>220</v>
      </c>
      <c r="B140" s="35">
        <v>0</v>
      </c>
      <c r="C140" s="35">
        <v>0</v>
      </c>
      <c r="D140" s="35">
        <v>0</v>
      </c>
      <c r="E140" s="35">
        <f>Table12[[#This Row],[2241775012.0000]]+Table12[[#This Row],[-1852333773.0000]]</f>
        <v>0</v>
      </c>
      <c r="F140" s="62">
        <v>-3000000</v>
      </c>
      <c r="G140" s="62">
        <v>548584149</v>
      </c>
      <c r="H140" s="62">
        <v>-549000000</v>
      </c>
      <c r="I140" s="62">
        <f>Table12[[#This Row],[Column7]]+Table12[[#This Row],[Column8]]</f>
        <v>-415851</v>
      </c>
      <c r="J140" s="55">
        <f>Table12[[#This Row],[2241775012.0000]]+Table12[[#This Row],[-1852333773.0000]]-Table12[[#This Row],[389441239.0000]]</f>
        <v>0</v>
      </c>
      <c r="K140" s="55">
        <f>Table12[[#This Row],[Column7]]+Table12[[#This Row],[Column8]]-Table12[[#This Row],[Column9]]</f>
        <v>0</v>
      </c>
    </row>
    <row r="141" spans="1:11" ht="23.1" customHeight="1" x14ac:dyDescent="0.45">
      <c r="A141" s="52" t="s">
        <v>249</v>
      </c>
      <c r="B141" s="35">
        <v>0</v>
      </c>
      <c r="C141" s="35">
        <v>0</v>
      </c>
      <c r="D141" s="35">
        <v>0</v>
      </c>
      <c r="E141" s="35">
        <f>Table12[[#This Row],[2241775012.0000]]+Table12[[#This Row],[-1852333773.0000]]</f>
        <v>0</v>
      </c>
      <c r="F141" s="35">
        <v>0</v>
      </c>
      <c r="G141" s="62">
        <v>-1003780</v>
      </c>
      <c r="H141" s="35">
        <v>0</v>
      </c>
      <c r="I141" s="62">
        <f>Table12[[#This Row],[Column7]]+Table12[[#This Row],[Column8]]</f>
        <v>-1003780</v>
      </c>
      <c r="J141" s="55">
        <f>Table12[[#This Row],[2241775012.0000]]+Table12[[#This Row],[-1852333773.0000]]-Table12[[#This Row],[389441239.0000]]</f>
        <v>0</v>
      </c>
      <c r="K141" s="55">
        <f>Table12[[#This Row],[Column7]]+Table12[[#This Row],[Column8]]-Table12[[#This Row],[Column9]]</f>
        <v>0</v>
      </c>
    </row>
    <row r="142" spans="1:11" ht="23.1" customHeight="1" x14ac:dyDescent="0.45">
      <c r="A142" s="52" t="s">
        <v>230</v>
      </c>
      <c r="B142" s="35">
        <v>0</v>
      </c>
      <c r="C142" s="35">
        <v>0</v>
      </c>
      <c r="D142" s="35">
        <v>0</v>
      </c>
      <c r="E142" s="35">
        <f>Table12[[#This Row],[2241775012.0000]]+Table12[[#This Row],[-1852333773.0000]]</f>
        <v>0</v>
      </c>
      <c r="F142" s="62">
        <v>534000</v>
      </c>
      <c r="G142" s="62">
        <v>433647101</v>
      </c>
      <c r="H142" s="62">
        <v>-14334155</v>
      </c>
      <c r="I142" s="62">
        <f>Table12[[#This Row],[Column7]]+Table12[[#This Row],[Column8]]</f>
        <v>419312946</v>
      </c>
      <c r="J142" s="55">
        <f>Table12[[#This Row],[2241775012.0000]]+Table12[[#This Row],[-1852333773.0000]]-Table12[[#This Row],[389441239.0000]]</f>
        <v>0</v>
      </c>
      <c r="K142" s="55">
        <f>Table12[[#This Row],[Column7]]+Table12[[#This Row],[Column8]]-Table12[[#This Row],[Column9]]</f>
        <v>0</v>
      </c>
    </row>
    <row r="143" spans="1:11" ht="23.1" customHeight="1" x14ac:dyDescent="0.45">
      <c r="A143" s="52" t="s">
        <v>231</v>
      </c>
      <c r="B143" s="35">
        <v>0</v>
      </c>
      <c r="C143" s="35">
        <v>0</v>
      </c>
      <c r="D143" s="35">
        <v>0</v>
      </c>
      <c r="E143" s="35">
        <f>Table12[[#This Row],[2241775012.0000]]+Table12[[#This Row],[-1852333773.0000]]</f>
        <v>0</v>
      </c>
      <c r="F143" s="62">
        <v>-2020000</v>
      </c>
      <c r="G143" s="62">
        <v>863904707</v>
      </c>
      <c r="H143" s="62">
        <v>-137367037</v>
      </c>
      <c r="I143" s="62">
        <f>Table12[[#This Row],[Column7]]+Table12[[#This Row],[Column8]]</f>
        <v>726537670</v>
      </c>
      <c r="J143" s="55">
        <f>Table12[[#This Row],[2241775012.0000]]+Table12[[#This Row],[-1852333773.0000]]-Table12[[#This Row],[389441239.0000]]</f>
        <v>0</v>
      </c>
      <c r="K143" s="55">
        <f>Table12[[#This Row],[Column7]]+Table12[[#This Row],[Column8]]-Table12[[#This Row],[Column9]]</f>
        <v>0</v>
      </c>
    </row>
    <row r="144" spans="1:11" ht="23.1" customHeight="1" x14ac:dyDescent="0.45">
      <c r="A144" s="52" t="s">
        <v>259</v>
      </c>
      <c r="B144" s="35">
        <v>0</v>
      </c>
      <c r="C144" s="35">
        <v>0</v>
      </c>
      <c r="D144" s="35">
        <v>0</v>
      </c>
      <c r="E144" s="35">
        <f>Table12[[#This Row],[2241775012.0000]]+Table12[[#This Row],[-1852333773.0000]]</f>
        <v>0</v>
      </c>
      <c r="F144" s="35">
        <v>0</v>
      </c>
      <c r="G144" s="62">
        <v>1749914284</v>
      </c>
      <c r="H144" s="35">
        <v>0</v>
      </c>
      <c r="I144" s="62">
        <f>Table12[[#This Row],[Column7]]+Table12[[#This Row],[Column8]]</f>
        <v>1749914284</v>
      </c>
      <c r="J144" s="55">
        <f>Table12[[#This Row],[2241775012.0000]]+Table12[[#This Row],[-1852333773.0000]]-Table12[[#This Row],[389441239.0000]]</f>
        <v>0</v>
      </c>
      <c r="K144" s="55">
        <f>Table12[[#This Row],[Column7]]+Table12[[#This Row],[Column8]]-Table12[[#This Row],[Column9]]</f>
        <v>0</v>
      </c>
    </row>
    <row r="145" spans="1:11" ht="23.1" customHeight="1" x14ac:dyDescent="0.45">
      <c r="A145" s="52" t="s">
        <v>232</v>
      </c>
      <c r="B145" s="35">
        <v>0</v>
      </c>
      <c r="C145" s="35">
        <v>0</v>
      </c>
      <c r="D145" s="35">
        <v>0</v>
      </c>
      <c r="E145" s="35">
        <f>Table12[[#This Row],[2241775012.0000]]+Table12[[#This Row],[-1852333773.0000]]</f>
        <v>0</v>
      </c>
      <c r="F145" s="62">
        <v>20000</v>
      </c>
      <c r="G145" s="62">
        <v>431672760</v>
      </c>
      <c r="H145" s="62">
        <v>-424334482</v>
      </c>
      <c r="I145" s="62">
        <f>Table12[[#This Row],[Column7]]+Table12[[#This Row],[Column8]]</f>
        <v>7338278</v>
      </c>
      <c r="J145" s="55">
        <f>Table12[[#This Row],[2241775012.0000]]+Table12[[#This Row],[-1852333773.0000]]-Table12[[#This Row],[389441239.0000]]</f>
        <v>0</v>
      </c>
      <c r="K145" s="55">
        <f>Table12[[#This Row],[Column7]]+Table12[[#This Row],[Column8]]-Table12[[#This Row],[Column9]]</f>
        <v>0</v>
      </c>
    </row>
    <row r="146" spans="1:11" ht="23.1" customHeight="1" x14ac:dyDescent="0.45">
      <c r="A146" s="52" t="s">
        <v>268</v>
      </c>
      <c r="B146" s="35">
        <v>0</v>
      </c>
      <c r="C146" s="35">
        <v>0</v>
      </c>
      <c r="D146" s="35">
        <v>0</v>
      </c>
      <c r="E146" s="35">
        <f>Table12[[#This Row],[2241775012.0000]]+Table12[[#This Row],[-1852333773.0000]]</f>
        <v>0</v>
      </c>
      <c r="F146" s="35">
        <v>0</v>
      </c>
      <c r="G146" s="62">
        <v>216823507</v>
      </c>
      <c r="H146" s="35">
        <v>0</v>
      </c>
      <c r="I146" s="62">
        <f>Table12[[#This Row],[Column7]]+Table12[[#This Row],[Column8]]</f>
        <v>216823507</v>
      </c>
      <c r="J146" s="55">
        <f>Table12[[#This Row],[2241775012.0000]]+Table12[[#This Row],[-1852333773.0000]]-Table12[[#This Row],[389441239.0000]]</f>
        <v>0</v>
      </c>
      <c r="K146" s="55">
        <f>Table12[[#This Row],[Column7]]+Table12[[#This Row],[Column8]]-Table12[[#This Row],[Column9]]</f>
        <v>0</v>
      </c>
    </row>
    <row r="147" spans="1:11" ht="23.1" customHeight="1" x14ac:dyDescent="0.45">
      <c r="A147" s="52" t="s">
        <v>167</v>
      </c>
      <c r="B147" s="35">
        <v>0</v>
      </c>
      <c r="C147" s="35">
        <v>0</v>
      </c>
      <c r="D147" s="35">
        <v>0</v>
      </c>
      <c r="E147" s="35">
        <f>Table12[[#This Row],[2241775012.0000]]+Table12[[#This Row],[-1852333773.0000]]</f>
        <v>0</v>
      </c>
      <c r="F147" s="35">
        <v>0</v>
      </c>
      <c r="G147" s="62">
        <v>274032882</v>
      </c>
      <c r="H147" s="35">
        <v>0</v>
      </c>
      <c r="I147" s="62">
        <f>Table12[[#This Row],[Column7]]+Table12[[#This Row],[Column8]]</f>
        <v>274032882</v>
      </c>
      <c r="J147" s="55">
        <f>Table12[[#This Row],[2241775012.0000]]+Table12[[#This Row],[-1852333773.0000]]-Table12[[#This Row],[389441239.0000]]</f>
        <v>0</v>
      </c>
      <c r="K147" s="55">
        <f>Table12[[#This Row],[Column7]]+Table12[[#This Row],[Column8]]-Table12[[#This Row],[Column9]]</f>
        <v>0</v>
      </c>
    </row>
    <row r="148" spans="1:11" ht="23.1" customHeight="1" x14ac:dyDescent="0.45">
      <c r="A148" s="52" t="s">
        <v>247</v>
      </c>
      <c r="B148" s="35">
        <v>0</v>
      </c>
      <c r="C148" s="35">
        <v>0</v>
      </c>
      <c r="D148" s="35">
        <v>0</v>
      </c>
      <c r="E148" s="35">
        <f>Table12[[#This Row],[2241775012.0000]]+Table12[[#This Row],[-1852333773.0000]]</f>
        <v>0</v>
      </c>
      <c r="F148" s="62">
        <v>2000000</v>
      </c>
      <c r="G148" s="62">
        <v>-2890074315</v>
      </c>
      <c r="H148" s="62">
        <v>2907916301</v>
      </c>
      <c r="I148" s="62">
        <f>Table12[[#This Row],[Column7]]+Table12[[#This Row],[Column8]]</f>
        <v>17841986</v>
      </c>
      <c r="J148" s="55">
        <f>Table12[[#This Row],[2241775012.0000]]+Table12[[#This Row],[-1852333773.0000]]-Table12[[#This Row],[389441239.0000]]</f>
        <v>0</v>
      </c>
      <c r="K148" s="55">
        <f>Table12[[#This Row],[Column7]]+Table12[[#This Row],[Column8]]-Table12[[#This Row],[Column9]]</f>
        <v>0</v>
      </c>
    </row>
    <row r="149" spans="1:11" ht="23.1" customHeight="1" x14ac:dyDescent="0.45">
      <c r="A149" s="52" t="s">
        <v>156</v>
      </c>
      <c r="B149" s="35">
        <v>0</v>
      </c>
      <c r="C149" s="35">
        <v>0</v>
      </c>
      <c r="D149" s="35">
        <v>0</v>
      </c>
      <c r="E149" s="35">
        <f>Table12[[#This Row],[2241775012.0000]]+Table12[[#This Row],[-1852333773.0000]]</f>
        <v>0</v>
      </c>
      <c r="F149" s="62">
        <v>2785000</v>
      </c>
      <c r="G149" s="62">
        <v>-1299649500</v>
      </c>
      <c r="H149" s="62">
        <v>1334180722</v>
      </c>
      <c r="I149" s="62">
        <f>Table12[[#This Row],[Column7]]+Table12[[#This Row],[Column8]]</f>
        <v>34531222</v>
      </c>
      <c r="J149" s="55">
        <f>Table12[[#This Row],[2241775012.0000]]+Table12[[#This Row],[-1852333773.0000]]-Table12[[#This Row],[389441239.0000]]</f>
        <v>0</v>
      </c>
      <c r="K149" s="55">
        <f>Table12[[#This Row],[Column7]]+Table12[[#This Row],[Column8]]-Table12[[#This Row],[Column9]]</f>
        <v>0</v>
      </c>
    </row>
    <row r="150" spans="1:11" ht="23.1" customHeight="1" x14ac:dyDescent="0.45">
      <c r="A150" s="52" t="s">
        <v>246</v>
      </c>
      <c r="B150" s="35">
        <v>0</v>
      </c>
      <c r="C150" s="35">
        <v>0</v>
      </c>
      <c r="D150" s="35">
        <v>0</v>
      </c>
      <c r="E150" s="35">
        <f>Table12[[#This Row],[2241775012.0000]]+Table12[[#This Row],[-1852333773.0000]]</f>
        <v>0</v>
      </c>
      <c r="F150" s="62">
        <v>50000</v>
      </c>
      <c r="G150" s="62">
        <v>-300150000</v>
      </c>
      <c r="H150" s="62">
        <v>321790188</v>
      </c>
      <c r="I150" s="62">
        <f>Table12[[#This Row],[Column7]]+Table12[[#This Row],[Column8]]</f>
        <v>21640188</v>
      </c>
      <c r="J150" s="55">
        <f>Table12[[#This Row],[2241775012.0000]]+Table12[[#This Row],[-1852333773.0000]]-Table12[[#This Row],[389441239.0000]]</f>
        <v>0</v>
      </c>
      <c r="K150" s="55">
        <f>Table12[[#This Row],[Column7]]+Table12[[#This Row],[Column8]]-Table12[[#This Row],[Column9]]</f>
        <v>0</v>
      </c>
    </row>
    <row r="151" spans="1:11" ht="23.1" customHeight="1" x14ac:dyDescent="0.45">
      <c r="A151" s="52" t="s">
        <v>269</v>
      </c>
      <c r="B151" s="35">
        <v>0</v>
      </c>
      <c r="C151" s="35">
        <v>0</v>
      </c>
      <c r="D151" s="35">
        <v>0</v>
      </c>
      <c r="E151" s="35">
        <f>Table12[[#This Row],[2241775012.0000]]+Table12[[#This Row],[-1852333773.0000]]</f>
        <v>0</v>
      </c>
      <c r="F151" s="62">
        <v>400000</v>
      </c>
      <c r="G151" s="62">
        <v>-5602800000</v>
      </c>
      <c r="H151" s="62">
        <v>5717421815</v>
      </c>
      <c r="I151" s="62">
        <f>Table12[[#This Row],[Column7]]+Table12[[#This Row],[Column8]]</f>
        <v>114621815</v>
      </c>
      <c r="J151" s="55">
        <f>Table12[[#This Row],[2241775012.0000]]+Table12[[#This Row],[-1852333773.0000]]-Table12[[#This Row],[389441239.0000]]</f>
        <v>0</v>
      </c>
      <c r="K151" s="55">
        <f>Table12[[#This Row],[Column7]]+Table12[[#This Row],[Column8]]-Table12[[#This Row],[Column9]]</f>
        <v>0</v>
      </c>
    </row>
    <row r="152" spans="1:11" ht="23.1" customHeight="1" x14ac:dyDescent="0.45">
      <c r="A152" s="52" t="s">
        <v>242</v>
      </c>
      <c r="B152" s="35">
        <v>0</v>
      </c>
      <c r="C152" s="35">
        <v>0</v>
      </c>
      <c r="D152" s="35">
        <v>0</v>
      </c>
      <c r="E152" s="35">
        <f>Table12[[#This Row],[2241775012.0000]]+Table12[[#This Row],[-1852333773.0000]]</f>
        <v>0</v>
      </c>
      <c r="F152" s="62">
        <v>1000000</v>
      </c>
      <c r="G152" s="62">
        <v>-1308033690</v>
      </c>
      <c r="H152" s="62">
        <v>1320174930</v>
      </c>
      <c r="I152" s="62">
        <f>Table12[[#This Row],[Column7]]+Table12[[#This Row],[Column8]]</f>
        <v>12141240</v>
      </c>
      <c r="J152" s="55">
        <f>Table12[[#This Row],[2241775012.0000]]+Table12[[#This Row],[-1852333773.0000]]-Table12[[#This Row],[389441239.0000]]</f>
        <v>0</v>
      </c>
      <c r="K152" s="55">
        <f>Table12[[#This Row],[Column7]]+Table12[[#This Row],[Column8]]-Table12[[#This Row],[Column9]]</f>
        <v>0</v>
      </c>
    </row>
    <row r="153" spans="1:11" ht="23.1" customHeight="1" thickBot="1" x14ac:dyDescent="0.5">
      <c r="A153" s="52" t="s">
        <v>243</v>
      </c>
      <c r="B153" s="35">
        <v>0</v>
      </c>
      <c r="C153" s="35">
        <v>0</v>
      </c>
      <c r="D153" s="35">
        <v>0</v>
      </c>
      <c r="E153" s="35">
        <f>Table12[[#This Row],[2241775012.0000]]+Table12[[#This Row],[-1852333773.0000]]</f>
        <v>0</v>
      </c>
      <c r="F153" s="62">
        <v>20000</v>
      </c>
      <c r="G153" s="62">
        <v>-260130000</v>
      </c>
      <c r="H153" s="62">
        <v>268912145</v>
      </c>
      <c r="I153" s="62">
        <f>Table12[[#This Row],[Column7]]+Table12[[#This Row],[Column8]]</f>
        <v>8782145</v>
      </c>
      <c r="J153" s="55">
        <f>Table12[[#This Row],[2241775012.0000]]+Table12[[#This Row],[-1852333773.0000]]-Table12[[#This Row],[389441239.0000]]</f>
        <v>0</v>
      </c>
      <c r="K153" s="55">
        <f>Table12[[#This Row],[Column7]]+Table12[[#This Row],[Column8]]-Table12[[#This Row],[Column9]]</f>
        <v>0</v>
      </c>
    </row>
    <row r="154" spans="1:11" ht="23.1" customHeight="1" thickBot="1" x14ac:dyDescent="0.5">
      <c r="A154" s="63" t="s">
        <v>60</v>
      </c>
      <c r="B154" s="64">
        <v>0</v>
      </c>
      <c r="C154" s="43">
        <f>SUBTOTAL(109,C7:C153)</f>
        <v>0</v>
      </c>
      <c r="D154" s="43">
        <f>SUBTOTAL(109,D7:D153)</f>
        <v>0</v>
      </c>
      <c r="E154" s="43">
        <f>SUBTOTAL(109,E7:E153)</f>
        <v>0</v>
      </c>
      <c r="F154" s="64"/>
      <c r="G154" s="64">
        <f>SUBTOTAL(109,G7:G153)</f>
        <v>1136638463820</v>
      </c>
      <c r="H154" s="64">
        <f>SUBTOTAL(109,H7:H153)</f>
        <v>-967951370970</v>
      </c>
      <c r="I154" s="64">
        <f>SUBTOTAL(109,I7:I153)</f>
        <v>168687092850</v>
      </c>
      <c r="J154" s="55">
        <f>Table12[[#This Row],[2241775012.0000]]+Table12[[#This Row],[-1852333773.0000]]-Table12[[#This Row],[389441239.0000]]</f>
        <v>0</v>
      </c>
      <c r="K154" s="55">
        <f>Table12[[#This Row],[Column7]]+Table12[[#This Row],[Column8]]-Table12[[#This Row],[Column9]]</f>
        <v>0</v>
      </c>
    </row>
    <row r="155" spans="1:11" ht="23.1" customHeight="1" thickTop="1" x14ac:dyDescent="0.45">
      <c r="A155" s="12" t="s">
        <v>61</v>
      </c>
      <c r="B155" s="13"/>
      <c r="C155" s="14"/>
      <c r="D155" s="14"/>
      <c r="E155" s="14"/>
      <c r="F155" s="13"/>
      <c r="G155" s="14"/>
      <c r="H155" s="14"/>
      <c r="I155" s="14"/>
    </row>
    <row r="156" spans="1:11" x14ac:dyDescent="0.45">
      <c r="D156" s="77"/>
      <c r="E156" s="78"/>
      <c r="F156" s="77"/>
      <c r="H156" s="77"/>
      <c r="I156" s="77"/>
    </row>
    <row r="157" spans="1:11" x14ac:dyDescent="0.45">
      <c r="E157" s="77"/>
    </row>
    <row r="158" spans="1:11" x14ac:dyDescent="0.45">
      <c r="E158" s="78"/>
    </row>
  </sheetData>
  <mergeCells count="6">
    <mergeCell ref="A1:I1"/>
    <mergeCell ref="A2:I2"/>
    <mergeCell ref="A3:I3"/>
    <mergeCell ref="B5:E5"/>
    <mergeCell ref="F5:I5"/>
    <mergeCell ref="A4:E4"/>
  </mergeCells>
  <pageMargins left="0.7" right="0.7" top="0.75" bottom="0.75" header="0.3" footer="0.3"/>
  <pageSetup paperSize="9" scale="48" orientation="landscape" horizontalDpi="4294967295" verticalDpi="4294967295" r:id="rId1"/>
  <headerFooter differentOddEven="1" differentFirst="1"/>
  <rowBreaks count="3" manualBreakCount="3">
    <brk id="27" max="8" man="1"/>
    <brk id="68" max="8" man="1"/>
    <brk id="114" max="8" man="1"/>
  </rowBreaks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95"/>
  <sheetViews>
    <sheetView rightToLeft="1" view="pageBreakPreview" zoomScaleNormal="100" zoomScaleSheetLayoutView="100" workbookViewId="0">
      <pane ySplit="6" topLeftCell="A7" activePane="bottomLeft" state="frozen"/>
      <selection pane="bottomLeft" activeCell="B5" sqref="B5:E5"/>
    </sheetView>
  </sheetViews>
  <sheetFormatPr defaultColWidth="9" defaultRowHeight="18" x14ac:dyDescent="0.45"/>
  <cols>
    <col min="1" max="1" width="38.7109375" style="26" bestFit="1" customWidth="1"/>
    <col min="2" max="2" width="12.5703125" style="26" bestFit="1" customWidth="1"/>
    <col min="3" max="3" width="19.7109375" style="26" bestFit="1" customWidth="1"/>
    <col min="4" max="4" width="18" style="26" bestFit="1" customWidth="1"/>
    <col min="5" max="5" width="24.7109375" style="26" bestFit="1" customWidth="1"/>
    <col min="6" max="6" width="12.28515625" style="26" bestFit="1" customWidth="1"/>
    <col min="7" max="7" width="19.7109375" style="26" bestFit="1" customWidth="1"/>
    <col min="8" max="8" width="18" style="26" bestFit="1" customWidth="1"/>
    <col min="9" max="9" width="24.7109375" style="26" bestFit="1" customWidth="1"/>
    <col min="10" max="10" width="9" style="1" customWidth="1"/>
    <col min="11" max="16384" width="9" style="1"/>
  </cols>
  <sheetData>
    <row r="1" spans="1:9" ht="19.5" x14ac:dyDescent="0.45">
      <c r="A1" s="144" t="s">
        <v>0</v>
      </c>
      <c r="B1" s="144"/>
      <c r="C1" s="144"/>
      <c r="D1" s="144"/>
      <c r="E1" s="144"/>
      <c r="F1" s="144"/>
      <c r="G1" s="144"/>
      <c r="H1" s="144"/>
      <c r="I1" s="144"/>
    </row>
    <row r="2" spans="1:9" ht="19.5" x14ac:dyDescent="0.45">
      <c r="A2" s="144" t="s">
        <v>76</v>
      </c>
      <c r="B2" s="144"/>
      <c r="C2" s="144"/>
      <c r="D2" s="144"/>
      <c r="E2" s="144"/>
      <c r="F2" s="144"/>
      <c r="G2" s="144"/>
      <c r="H2" s="144"/>
      <c r="I2" s="144"/>
    </row>
    <row r="3" spans="1:9" ht="19.5" x14ac:dyDescent="0.45">
      <c r="A3" s="144" t="s">
        <v>275</v>
      </c>
      <c r="B3" s="144"/>
      <c r="C3" s="144"/>
      <c r="D3" s="144"/>
      <c r="E3" s="144"/>
      <c r="F3" s="144"/>
      <c r="G3" s="144"/>
      <c r="H3" s="144"/>
      <c r="I3" s="144"/>
    </row>
    <row r="4" spans="1:9" ht="21" x14ac:dyDescent="0.45">
      <c r="A4" s="148" t="s">
        <v>121</v>
      </c>
      <c r="B4" s="148"/>
      <c r="C4" s="148"/>
      <c r="D4" s="148"/>
      <c r="E4" s="101"/>
      <c r="F4" s="28"/>
      <c r="G4" s="28"/>
      <c r="H4" s="28"/>
      <c r="I4" s="28"/>
    </row>
    <row r="5" spans="1:9" ht="16.5" customHeight="1" thickBot="1" x14ac:dyDescent="0.5">
      <c r="A5" s="74"/>
      <c r="B5" s="173" t="s">
        <v>273</v>
      </c>
      <c r="C5" s="173"/>
      <c r="D5" s="173"/>
      <c r="E5" s="173"/>
      <c r="F5" s="155" t="s">
        <v>264</v>
      </c>
      <c r="G5" s="155"/>
      <c r="H5" s="155"/>
      <c r="I5" s="155"/>
    </row>
    <row r="6" spans="1:9" ht="53.25" customHeight="1" thickBot="1" x14ac:dyDescent="0.5">
      <c r="A6" s="28" t="s">
        <v>78</v>
      </c>
      <c r="B6" s="44" t="s">
        <v>7</v>
      </c>
      <c r="C6" s="44" t="s">
        <v>9</v>
      </c>
      <c r="D6" s="44" t="s">
        <v>105</v>
      </c>
      <c r="E6" s="75" t="s">
        <v>122</v>
      </c>
      <c r="F6" s="44" t="s">
        <v>7</v>
      </c>
      <c r="G6" s="44" t="s">
        <v>9</v>
      </c>
      <c r="H6" s="44" t="s">
        <v>105</v>
      </c>
      <c r="I6" s="75" t="s">
        <v>122</v>
      </c>
    </row>
    <row r="7" spans="1:9" ht="23.1" customHeight="1" x14ac:dyDescent="0.45">
      <c r="A7" s="52" t="s">
        <v>115</v>
      </c>
      <c r="B7" s="62">
        <v>54041000</v>
      </c>
      <c r="C7" s="62">
        <v>27026124592</v>
      </c>
      <c r="D7" s="62">
        <f>-27026124592</f>
        <v>-27026124592</v>
      </c>
      <c r="E7" s="35">
        <f>Table13[[#This Row],[10188628360.0000]]+Table13[[#This Row],[-9136554920.0000]]</f>
        <v>0</v>
      </c>
      <c r="F7" s="62">
        <v>54041000</v>
      </c>
      <c r="G7" s="62">
        <v>27026124592</v>
      </c>
      <c r="H7" s="62">
        <v>-27788279910</v>
      </c>
      <c r="I7" s="62">
        <f>Table13[[#This Row],[-7423957592.0000]]+Table13[[#This Row],[Column7]]</f>
        <v>-762155318</v>
      </c>
    </row>
    <row r="8" spans="1:9" ht="23.1" customHeight="1" x14ac:dyDescent="0.45">
      <c r="A8" s="52" t="s">
        <v>19</v>
      </c>
      <c r="B8" s="62">
        <v>400000</v>
      </c>
      <c r="C8" s="62">
        <v>5390010640</v>
      </c>
      <c r="D8" s="62">
        <f>-5390010640</f>
        <v>-5390010640</v>
      </c>
      <c r="E8" s="35">
        <f>Table13[[#This Row],[10188628360.0000]]+Table13[[#This Row],[-9136554920.0000]]</f>
        <v>0</v>
      </c>
      <c r="F8" s="62">
        <v>400000</v>
      </c>
      <c r="G8" s="62">
        <v>5390010640</v>
      </c>
      <c r="H8" s="62">
        <v>-6030800000</v>
      </c>
      <c r="I8" s="62">
        <f>Table13[[#This Row],[-7423957592.0000]]+Table13[[#This Row],[Column7]]</f>
        <v>-640789360</v>
      </c>
    </row>
    <row r="9" spans="1:9" ht="23.1" customHeight="1" x14ac:dyDescent="0.45">
      <c r="A9" s="170" t="s">
        <v>141</v>
      </c>
      <c r="B9" s="62">
        <v>61798000</v>
      </c>
      <c r="C9" s="62">
        <v>24773401792</v>
      </c>
      <c r="D9" s="62">
        <f>-24773401792</f>
        <v>-24773401792</v>
      </c>
      <c r="E9" s="35">
        <f>Table13[[#This Row],[10188628360.0000]]+Table13[[#This Row],[-9136554920.0000]]</f>
        <v>0</v>
      </c>
      <c r="F9" s="62">
        <v>61798000</v>
      </c>
      <c r="G9" s="62">
        <v>24773401792</v>
      </c>
      <c r="H9" s="62">
        <v>-24957362697</v>
      </c>
      <c r="I9" s="62">
        <f>Table13[[#This Row],[-7423957592.0000]]+Table13[[#This Row],[Column7]]</f>
        <v>-183960905</v>
      </c>
    </row>
    <row r="10" spans="1:9" ht="23.1" customHeight="1" x14ac:dyDescent="0.45">
      <c r="A10" s="52" t="s">
        <v>20</v>
      </c>
      <c r="B10" s="62">
        <v>2800000</v>
      </c>
      <c r="C10" s="62">
        <v>17086889400</v>
      </c>
      <c r="D10" s="62">
        <f>-17086889400</f>
        <v>-17086889400</v>
      </c>
      <c r="E10" s="35">
        <f>Table13[[#This Row],[10188628360.0000]]+Table13[[#This Row],[-9136554920.0000]]</f>
        <v>0</v>
      </c>
      <c r="F10" s="62">
        <v>2800000</v>
      </c>
      <c r="G10" s="62">
        <v>17086889400</v>
      </c>
      <c r="H10" s="62">
        <v>-17586993480</v>
      </c>
      <c r="I10" s="62">
        <f>Table13[[#This Row],[-7423957592.0000]]+Table13[[#This Row],[Column7]]</f>
        <v>-500104080</v>
      </c>
    </row>
    <row r="11" spans="1:9" ht="23.1" customHeight="1" x14ac:dyDescent="0.45">
      <c r="A11" s="52" t="s">
        <v>22</v>
      </c>
      <c r="B11" s="62">
        <v>800000</v>
      </c>
      <c r="C11" s="62">
        <v>5302690880</v>
      </c>
      <c r="D11" s="62">
        <f>-5302690880</f>
        <v>-5302690880</v>
      </c>
      <c r="E11" s="35">
        <f>Table13[[#This Row],[10188628360.0000]]+Table13[[#This Row],[-9136554920.0000]]</f>
        <v>0</v>
      </c>
      <c r="F11" s="62">
        <v>800000</v>
      </c>
      <c r="G11" s="62">
        <v>5302690880</v>
      </c>
      <c r="H11" s="62">
        <v>-5580526480</v>
      </c>
      <c r="I11" s="62">
        <f>Table13[[#This Row],[-7423957592.0000]]+Table13[[#This Row],[Column7]]</f>
        <v>-277835600</v>
      </c>
    </row>
    <row r="12" spans="1:9" ht="23.1" customHeight="1" x14ac:dyDescent="0.45">
      <c r="A12" s="52" t="s">
        <v>212</v>
      </c>
      <c r="B12" s="62">
        <v>4400000</v>
      </c>
      <c r="C12" s="62">
        <v>15922758237</v>
      </c>
      <c r="D12" s="62">
        <f>-15922758237</f>
        <v>-15922758237</v>
      </c>
      <c r="E12" s="35">
        <f>Table13[[#This Row],[10188628360.0000]]+Table13[[#This Row],[-9136554920.0000]]</f>
        <v>0</v>
      </c>
      <c r="F12" s="62">
        <v>4400000</v>
      </c>
      <c r="G12" s="62">
        <v>15922758237</v>
      </c>
      <c r="H12" s="62">
        <v>-17175796793</v>
      </c>
      <c r="I12" s="62">
        <f>Table13[[#This Row],[-7423957592.0000]]+Table13[[#This Row],[Column7]]</f>
        <v>-1253038556</v>
      </c>
    </row>
    <row r="13" spans="1:9" ht="23.1" customHeight="1" x14ac:dyDescent="0.45">
      <c r="A13" s="52" t="s">
        <v>120</v>
      </c>
      <c r="B13" s="62">
        <v>52000000</v>
      </c>
      <c r="C13" s="62">
        <v>24509069000</v>
      </c>
      <c r="D13" s="62">
        <f>-24509069000</f>
        <v>-24509069000</v>
      </c>
      <c r="E13" s="35">
        <f>Table13[[#This Row],[10188628360.0000]]+Table13[[#This Row],[-9136554920.0000]]</f>
        <v>0</v>
      </c>
      <c r="F13" s="62">
        <v>52000000</v>
      </c>
      <c r="G13" s="62">
        <v>24509069000</v>
      </c>
      <c r="H13" s="62">
        <v>-25902216080</v>
      </c>
      <c r="I13" s="62">
        <f>Table13[[#This Row],[-7423957592.0000]]+Table13[[#This Row],[Column7]]</f>
        <v>-1393147080</v>
      </c>
    </row>
    <row r="14" spans="1:9" ht="23.1" customHeight="1" x14ac:dyDescent="0.45">
      <c r="A14" s="52" t="s">
        <v>24</v>
      </c>
      <c r="B14" s="62">
        <v>11610000</v>
      </c>
      <c r="C14" s="62">
        <v>30068757810</v>
      </c>
      <c r="D14" s="62">
        <f>-30068757810</f>
        <v>-30068757810</v>
      </c>
      <c r="E14" s="35">
        <f>Table13[[#This Row],[10188628360.0000]]+Table13[[#This Row],[-9136554920.0000]]</f>
        <v>0</v>
      </c>
      <c r="F14" s="62">
        <v>11610000</v>
      </c>
      <c r="G14" s="62">
        <v>30068757810</v>
      </c>
      <c r="H14" s="62">
        <v>-30095549100</v>
      </c>
      <c r="I14" s="62">
        <f>Table13[[#This Row],[-7423957592.0000]]+Table13[[#This Row],[Column7]]</f>
        <v>-26791290</v>
      </c>
    </row>
    <row r="15" spans="1:9" ht="23.1" customHeight="1" x14ac:dyDescent="0.45">
      <c r="A15" s="52" t="s">
        <v>213</v>
      </c>
      <c r="B15" s="62">
        <v>8700000</v>
      </c>
      <c r="C15" s="62">
        <v>17472683977</v>
      </c>
      <c r="D15" s="62">
        <f>-17472683977</f>
        <v>-17472683977</v>
      </c>
      <c r="E15" s="35">
        <f>Table13[[#This Row],[10188628360.0000]]+Table13[[#This Row],[-9136554920.0000]]</f>
        <v>0</v>
      </c>
      <c r="F15" s="62">
        <v>8700000</v>
      </c>
      <c r="G15" s="62">
        <v>17472683977</v>
      </c>
      <c r="H15" s="62">
        <v>-16937453539</v>
      </c>
      <c r="I15" s="62">
        <f>Table13[[#This Row],[-7423957592.0000]]+Table13[[#This Row],[Column7]]</f>
        <v>535230438</v>
      </c>
    </row>
    <row r="16" spans="1:9" ht="23.1" customHeight="1" x14ac:dyDescent="0.45">
      <c r="A16" s="52" t="s">
        <v>26</v>
      </c>
      <c r="B16" s="62">
        <v>3000000</v>
      </c>
      <c r="C16" s="62">
        <v>18485990100</v>
      </c>
      <c r="D16" s="62">
        <f>-18485990100</f>
        <v>-18485990100</v>
      </c>
      <c r="E16" s="35">
        <f>Table13[[#This Row],[10188628360.0000]]+Table13[[#This Row],[-9136554920.0000]]</f>
        <v>0</v>
      </c>
      <c r="F16" s="62">
        <v>3000000</v>
      </c>
      <c r="G16" s="62">
        <v>18485990100</v>
      </c>
      <c r="H16" s="62">
        <v>-19974395100</v>
      </c>
      <c r="I16" s="62">
        <f>Table13[[#This Row],[-7423957592.0000]]+Table13[[#This Row],[Column7]]</f>
        <v>-1488405000</v>
      </c>
    </row>
    <row r="17" spans="1:9" ht="23.1" customHeight="1" x14ac:dyDescent="0.45">
      <c r="A17" s="52" t="s">
        <v>142</v>
      </c>
      <c r="B17" s="62">
        <v>13200000</v>
      </c>
      <c r="C17" s="62">
        <v>16582022425</v>
      </c>
      <c r="D17" s="62">
        <f>-16582022425</f>
        <v>-16582022425</v>
      </c>
      <c r="E17" s="35">
        <f>Table13[[#This Row],[10188628360.0000]]+Table13[[#This Row],[-9136554920.0000]]</f>
        <v>0</v>
      </c>
      <c r="F17" s="62">
        <v>13200000</v>
      </c>
      <c r="G17" s="62">
        <v>16582022425</v>
      </c>
      <c r="H17" s="62">
        <v>-15840466512</v>
      </c>
      <c r="I17" s="62">
        <f>Table13[[#This Row],[-7423957592.0000]]+Table13[[#This Row],[Column7]]</f>
        <v>741555913</v>
      </c>
    </row>
    <row r="18" spans="1:9" ht="23.1" customHeight="1" x14ac:dyDescent="0.45">
      <c r="A18" s="52" t="s">
        <v>143</v>
      </c>
      <c r="B18" s="62">
        <v>1800000</v>
      </c>
      <c r="C18" s="62">
        <v>10430742240</v>
      </c>
      <c r="D18" s="62">
        <f>-10430742240</f>
        <v>-10430742240</v>
      </c>
      <c r="E18" s="35">
        <f>Table13[[#This Row],[10188628360.0000]]+Table13[[#This Row],[-9136554920.0000]]</f>
        <v>0</v>
      </c>
      <c r="F18" s="62">
        <v>1800000</v>
      </c>
      <c r="G18" s="62">
        <v>10430742240</v>
      </c>
      <c r="H18" s="62">
        <v>-10377159660</v>
      </c>
      <c r="I18" s="62">
        <f>Table13[[#This Row],[-7423957592.0000]]+Table13[[#This Row],[Column7]]</f>
        <v>53582580</v>
      </c>
    </row>
    <row r="19" spans="1:9" ht="23.1" customHeight="1" x14ac:dyDescent="0.45">
      <c r="A19" s="170" t="s">
        <v>28</v>
      </c>
      <c r="B19" s="171">
        <v>43637919</v>
      </c>
      <c r="C19" s="171">
        <v>37790650791</v>
      </c>
      <c r="D19" s="171">
        <f>-37790650791</f>
        <v>-37790650791</v>
      </c>
      <c r="E19" s="172">
        <f>Table13[[#This Row],[10188628360.0000]]+Table13[[#This Row],[-9136554920.0000]]</f>
        <v>0</v>
      </c>
      <c r="F19" s="171">
        <v>43637919</v>
      </c>
      <c r="G19" s="171">
        <v>37790650791</v>
      </c>
      <c r="H19" s="62">
        <v>-38008750134</v>
      </c>
      <c r="I19" s="62">
        <f>Table13[[#This Row],[-7423957592.0000]]+Table13[[#This Row],[Column7]]</f>
        <v>-218099343</v>
      </c>
    </row>
    <row r="20" spans="1:9" ht="23.1" customHeight="1" x14ac:dyDescent="0.45">
      <c r="A20" s="170" t="s">
        <v>144</v>
      </c>
      <c r="B20" s="171">
        <v>205405</v>
      </c>
      <c r="C20" s="171">
        <v>406615356</v>
      </c>
      <c r="D20" s="171">
        <f>-406615356</f>
        <v>-406615356</v>
      </c>
      <c r="E20" s="172">
        <f>Table13[[#This Row],[10188628360.0000]]+Table13[[#This Row],[-9136554920.0000]]</f>
        <v>0</v>
      </c>
      <c r="F20" s="171">
        <v>205405</v>
      </c>
      <c r="G20" s="171">
        <v>406615356</v>
      </c>
      <c r="H20" s="62">
        <v>-422309283</v>
      </c>
      <c r="I20" s="62">
        <f>Table13[[#This Row],[-7423957592.0000]]+Table13[[#This Row],[Column7]]</f>
        <v>-15693927</v>
      </c>
    </row>
    <row r="21" spans="1:9" ht="23.1" customHeight="1" x14ac:dyDescent="0.45">
      <c r="A21" s="52" t="s">
        <v>31</v>
      </c>
      <c r="B21" s="62">
        <v>1300000</v>
      </c>
      <c r="C21" s="62">
        <v>17672328700</v>
      </c>
      <c r="D21" s="62">
        <f>-17672328700</f>
        <v>-17672328700</v>
      </c>
      <c r="E21" s="35">
        <f>Table13[[#This Row],[10188628360.0000]]+Table13[[#This Row],[-9136554920.0000]]</f>
        <v>0</v>
      </c>
      <c r="F21" s="62">
        <v>1300000</v>
      </c>
      <c r="G21" s="62">
        <v>17672328700</v>
      </c>
      <c r="H21" s="62">
        <v>-17465936540</v>
      </c>
      <c r="I21" s="62">
        <f>Table13[[#This Row],[-7423957592.0000]]+Table13[[#This Row],[Column7]]</f>
        <v>206392160</v>
      </c>
    </row>
    <row r="22" spans="1:9" ht="23.1" customHeight="1" x14ac:dyDescent="0.45">
      <c r="A22" s="52" t="s">
        <v>33</v>
      </c>
      <c r="B22" s="62">
        <v>6230682</v>
      </c>
      <c r="C22" s="62">
        <v>16868514532</v>
      </c>
      <c r="D22" s="62">
        <f>-16868514532</f>
        <v>-16868514532</v>
      </c>
      <c r="E22" s="35">
        <f>Table13[[#This Row],[10188628360.0000]]+Table13[[#This Row],[-9136554920.0000]]</f>
        <v>0</v>
      </c>
      <c r="F22" s="62">
        <v>6230682</v>
      </c>
      <c r="G22" s="62">
        <v>16868514532</v>
      </c>
      <c r="H22" s="62">
        <v>-17267842258</v>
      </c>
      <c r="I22" s="62">
        <f>Table13[[#This Row],[-7423957592.0000]]+Table13[[#This Row],[Column7]]</f>
        <v>-399327726</v>
      </c>
    </row>
    <row r="23" spans="1:9" ht="23.1" customHeight="1" x14ac:dyDescent="0.45">
      <c r="A23" s="52" t="s">
        <v>145</v>
      </c>
      <c r="B23" s="62">
        <v>5754997</v>
      </c>
      <c r="C23" s="62">
        <v>15628811687</v>
      </c>
      <c r="D23" s="62">
        <f>-15628811687</f>
        <v>-15628811687</v>
      </c>
      <c r="E23" s="35">
        <f>Table13[[#This Row],[10188628360.0000]]+Table13[[#This Row],[-9136554920.0000]]</f>
        <v>0</v>
      </c>
      <c r="F23" s="62">
        <v>5754997</v>
      </c>
      <c r="G23" s="62">
        <v>15628811687</v>
      </c>
      <c r="H23" s="62">
        <v>-15207102706</v>
      </c>
      <c r="I23" s="62">
        <f>Table13[[#This Row],[-7423957592.0000]]+Table13[[#This Row],[Column7]]</f>
        <v>421708981</v>
      </c>
    </row>
    <row r="24" spans="1:9" ht="23.1" customHeight="1" x14ac:dyDescent="0.45">
      <c r="A24" s="52" t="s">
        <v>214</v>
      </c>
      <c r="B24" s="62">
        <v>11700000</v>
      </c>
      <c r="C24" s="62">
        <v>16891908345</v>
      </c>
      <c r="D24" s="62">
        <f>-16891908345</f>
        <v>-16891908345</v>
      </c>
      <c r="E24" s="35">
        <f>Table13[[#This Row],[10188628360.0000]]+Table13[[#This Row],[-9136554920.0000]]</f>
        <v>0</v>
      </c>
      <c r="F24" s="62">
        <v>11700000</v>
      </c>
      <c r="G24" s="62">
        <v>16891908345</v>
      </c>
      <c r="H24" s="62">
        <v>-17762625270</v>
      </c>
      <c r="I24" s="62">
        <f>Table13[[#This Row],[-7423957592.0000]]+Table13[[#This Row],[Column7]]</f>
        <v>-870716925</v>
      </c>
    </row>
    <row r="25" spans="1:9" ht="23.1" customHeight="1" x14ac:dyDescent="0.45">
      <c r="A25" s="52" t="s">
        <v>42</v>
      </c>
      <c r="B25" s="35">
        <v>0</v>
      </c>
      <c r="C25" s="35">
        <v>0</v>
      </c>
      <c r="D25" s="35">
        <v>0</v>
      </c>
      <c r="E25" s="35">
        <f>Table13[[#This Row],[10188628360.0000]]+Table13[[#This Row],[-9136554920.0000]]</f>
        <v>0</v>
      </c>
      <c r="F25" s="35">
        <v>0</v>
      </c>
      <c r="G25" s="35">
        <v>0</v>
      </c>
      <c r="H25" s="62">
        <v>117353733</v>
      </c>
      <c r="I25" s="62">
        <f>Table13[[#This Row],[-7423957592.0000]]+Table13[[#This Row],[Column7]]</f>
        <v>117353733</v>
      </c>
    </row>
    <row r="26" spans="1:9" ht="23.1" customHeight="1" x14ac:dyDescent="0.45">
      <c r="A26" s="52" t="s">
        <v>251</v>
      </c>
      <c r="B26" s="62">
        <v>400000</v>
      </c>
      <c r="C26" s="62">
        <v>2210777560</v>
      </c>
      <c r="D26" s="62">
        <f>-2210777560</f>
        <v>-2210777560</v>
      </c>
      <c r="E26" s="35">
        <f>Table13[[#This Row],[10188628360.0000]]+Table13[[#This Row],[-9136554920.0000]]</f>
        <v>0</v>
      </c>
      <c r="F26" s="62">
        <v>400000</v>
      </c>
      <c r="G26" s="62">
        <v>2210777560</v>
      </c>
      <c r="H26" s="62">
        <v>-2245967683</v>
      </c>
      <c r="I26" s="62">
        <f>Table13[[#This Row],[-7423957592.0000]]+Table13[[#This Row],[Column7]]</f>
        <v>-35190123</v>
      </c>
    </row>
    <row r="27" spans="1:9" ht="23.1" customHeight="1" x14ac:dyDescent="0.45">
      <c r="A27" s="52" t="s">
        <v>147</v>
      </c>
      <c r="B27" s="62">
        <v>20112</v>
      </c>
      <c r="C27" s="62">
        <v>713645668</v>
      </c>
      <c r="D27" s="62">
        <f>-713645668</f>
        <v>-713645668</v>
      </c>
      <c r="E27" s="35">
        <f>Table13[[#This Row],[10188628360.0000]]+Table13[[#This Row],[-9136554920.0000]]</f>
        <v>0</v>
      </c>
      <c r="F27" s="62">
        <v>20112</v>
      </c>
      <c r="G27" s="62">
        <v>713645668</v>
      </c>
      <c r="H27" s="62">
        <v>-779390239</v>
      </c>
      <c r="I27" s="62">
        <f>Table13[[#This Row],[-7423957592.0000]]+Table13[[#This Row],[Column7]]</f>
        <v>-65744571</v>
      </c>
    </row>
    <row r="28" spans="1:9" ht="23.1" customHeight="1" x14ac:dyDescent="0.45">
      <c r="A28" s="52" t="s">
        <v>148</v>
      </c>
      <c r="B28" s="62">
        <v>1000000</v>
      </c>
      <c r="C28" s="62">
        <v>419730210</v>
      </c>
      <c r="D28" s="62">
        <f>-419730210</f>
        <v>-419730210</v>
      </c>
      <c r="E28" s="35">
        <f>Table13[[#This Row],[10188628360.0000]]+Table13[[#This Row],[-9136554920.0000]]</f>
        <v>0</v>
      </c>
      <c r="F28" s="62">
        <v>1000000</v>
      </c>
      <c r="G28" s="62">
        <v>419730210</v>
      </c>
      <c r="H28" s="62">
        <v>-400877080</v>
      </c>
      <c r="I28" s="62">
        <f>Table13[[#This Row],[-7423957592.0000]]+Table13[[#This Row],[Column7]]</f>
        <v>18853130</v>
      </c>
    </row>
    <row r="29" spans="1:9" ht="23.1" customHeight="1" x14ac:dyDescent="0.45">
      <c r="A29" s="52" t="s">
        <v>150</v>
      </c>
      <c r="B29" s="62">
        <v>25000000</v>
      </c>
      <c r="C29" s="62">
        <v>12080887250</v>
      </c>
      <c r="D29" s="62">
        <f>-12080887250</f>
        <v>-12080887250</v>
      </c>
      <c r="E29" s="35">
        <f>Table13[[#This Row],[10188628360.0000]]+Table13[[#This Row],[-9136554920.0000]]</f>
        <v>0</v>
      </c>
      <c r="F29" s="62">
        <v>25000000</v>
      </c>
      <c r="G29" s="62">
        <v>12080887250</v>
      </c>
      <c r="H29" s="62">
        <v>-12426523128</v>
      </c>
      <c r="I29" s="62">
        <f>Table13[[#This Row],[-7423957592.0000]]+Table13[[#This Row],[Column7]]</f>
        <v>-345635878</v>
      </c>
    </row>
    <row r="30" spans="1:9" ht="23.1" customHeight="1" x14ac:dyDescent="0.45">
      <c r="A30" s="52" t="s">
        <v>215</v>
      </c>
      <c r="B30" s="62">
        <v>2000000</v>
      </c>
      <c r="C30" s="62">
        <v>15916010800</v>
      </c>
      <c r="D30" s="62">
        <f>-15916010800</f>
        <v>-15916010800</v>
      </c>
      <c r="E30" s="35">
        <f>Table13[[#This Row],[10188628360.0000]]+Table13[[#This Row],[-9136554920.0000]]</f>
        <v>0</v>
      </c>
      <c r="F30" s="62">
        <v>2000000</v>
      </c>
      <c r="G30" s="62">
        <v>15916010800</v>
      </c>
      <c r="H30" s="62">
        <v>-15261112600</v>
      </c>
      <c r="I30" s="62">
        <f>Table13[[#This Row],[-7423957592.0000]]+Table13[[#This Row],[Column7]]</f>
        <v>654898200</v>
      </c>
    </row>
    <row r="31" spans="1:9" ht="23.1" customHeight="1" x14ac:dyDescent="0.45">
      <c r="A31" s="52" t="s">
        <v>114</v>
      </c>
      <c r="B31" s="62">
        <v>4400000</v>
      </c>
      <c r="C31" s="62">
        <v>9661931445</v>
      </c>
      <c r="D31" s="62">
        <f>-9661931445</f>
        <v>-9661931445</v>
      </c>
      <c r="E31" s="35">
        <f>Table13[[#This Row],[10188628360.0000]]+Table13[[#This Row],[-9136554920.0000]]</f>
        <v>0</v>
      </c>
      <c r="F31" s="62">
        <v>4400000</v>
      </c>
      <c r="G31" s="62">
        <v>9661931445</v>
      </c>
      <c r="H31" s="62">
        <v>-9923890725</v>
      </c>
      <c r="I31" s="62">
        <f>Table13[[#This Row],[-7423957592.0000]]+Table13[[#This Row],[Column7]]</f>
        <v>-261959280</v>
      </c>
    </row>
    <row r="32" spans="1:9" ht="23.1" customHeight="1" x14ac:dyDescent="0.45">
      <c r="A32" s="52" t="s">
        <v>50</v>
      </c>
      <c r="B32" s="62">
        <v>847407</v>
      </c>
      <c r="C32" s="62">
        <v>8347592338</v>
      </c>
      <c r="D32" s="62">
        <f>-8347592338</f>
        <v>-8347592338</v>
      </c>
      <c r="E32" s="35">
        <f>Table13[[#This Row],[10188628360.0000]]+Table13[[#This Row],[-9136554920.0000]]</f>
        <v>0</v>
      </c>
      <c r="F32" s="62">
        <v>847407</v>
      </c>
      <c r="G32" s="62">
        <v>8347592338</v>
      </c>
      <c r="H32" s="62">
        <v>-7830793803</v>
      </c>
      <c r="I32" s="62">
        <f>Table13[[#This Row],[-7423957592.0000]]+Table13[[#This Row],[Column7]]</f>
        <v>516798535</v>
      </c>
    </row>
    <row r="33" spans="1:9" ht="23.1" customHeight="1" x14ac:dyDescent="0.45">
      <c r="A33" s="52" t="s">
        <v>152</v>
      </c>
      <c r="B33" s="62">
        <v>600000</v>
      </c>
      <c r="C33" s="62">
        <v>6370373400</v>
      </c>
      <c r="D33" s="62">
        <f>-6370373400</f>
        <v>-6370373400</v>
      </c>
      <c r="E33" s="35">
        <f>Table13[[#This Row],[10188628360.0000]]+Table13[[#This Row],[-9136554920.0000]]</f>
        <v>0</v>
      </c>
      <c r="F33" s="62">
        <v>600000</v>
      </c>
      <c r="G33" s="62">
        <v>6370373400</v>
      </c>
      <c r="H33" s="62">
        <v>-6781173180</v>
      </c>
      <c r="I33" s="62">
        <f>Table13[[#This Row],[-7423957592.0000]]+Table13[[#This Row],[Column7]]</f>
        <v>-410799780</v>
      </c>
    </row>
    <row r="34" spans="1:9" ht="23.1" customHeight="1" x14ac:dyDescent="0.45">
      <c r="A34" s="52" t="s">
        <v>118</v>
      </c>
      <c r="B34" s="62">
        <v>9198000</v>
      </c>
      <c r="C34" s="62">
        <v>14958988218</v>
      </c>
      <c r="D34" s="62">
        <f>-14958988218</f>
        <v>-14958988218</v>
      </c>
      <c r="E34" s="35">
        <f>Table13[[#This Row],[10188628360.0000]]+Table13[[#This Row],[-9136554920.0000]]</f>
        <v>0</v>
      </c>
      <c r="F34" s="62">
        <v>9198000</v>
      </c>
      <c r="G34" s="62">
        <v>14958988218</v>
      </c>
      <c r="H34" s="62">
        <v>-15032003414</v>
      </c>
      <c r="I34" s="62">
        <f>Table13[[#This Row],[-7423957592.0000]]+Table13[[#This Row],[Column7]]</f>
        <v>-73015196</v>
      </c>
    </row>
    <row r="35" spans="1:9" ht="23.1" customHeight="1" x14ac:dyDescent="0.45">
      <c r="A35" s="52" t="s">
        <v>107</v>
      </c>
      <c r="B35" s="62">
        <v>20000</v>
      </c>
      <c r="C35" s="62">
        <v>2091705160</v>
      </c>
      <c r="D35" s="62">
        <f>-2091705160</f>
        <v>-2091705160</v>
      </c>
      <c r="E35" s="35">
        <f>Table13[[#This Row],[10188628360.0000]]+Table13[[#This Row],[-9136554920.0000]]</f>
        <v>0</v>
      </c>
      <c r="F35" s="62">
        <v>20000</v>
      </c>
      <c r="G35" s="62">
        <v>2091705160</v>
      </c>
      <c r="H35" s="62">
        <v>-2095674240</v>
      </c>
      <c r="I35" s="62">
        <f>Table13[[#This Row],[-7423957592.0000]]+Table13[[#This Row],[Column7]]</f>
        <v>-3969080</v>
      </c>
    </row>
    <row r="36" spans="1:9" ht="23.1" customHeight="1" x14ac:dyDescent="0.45">
      <c r="A36" s="52" t="s">
        <v>52</v>
      </c>
      <c r="B36" s="62">
        <v>561046</v>
      </c>
      <c r="C36" s="62">
        <v>5731320336</v>
      </c>
      <c r="D36" s="62">
        <f>-5731320336</f>
        <v>-5731320336</v>
      </c>
      <c r="E36" s="35">
        <f>Table13[[#This Row],[10188628360.0000]]+Table13[[#This Row],[-9136554920.0000]]</f>
        <v>0</v>
      </c>
      <c r="F36" s="62">
        <v>561046</v>
      </c>
      <c r="G36" s="62">
        <v>5731320336</v>
      </c>
      <c r="H36" s="62">
        <v>-6730613197</v>
      </c>
      <c r="I36" s="62">
        <f>Table13[[#This Row],[-7423957592.0000]]+Table13[[#This Row],[Column7]]</f>
        <v>-999292861</v>
      </c>
    </row>
    <row r="37" spans="1:9" ht="23.1" customHeight="1" x14ac:dyDescent="0.45">
      <c r="A37" s="52" t="s">
        <v>216</v>
      </c>
      <c r="B37" s="62">
        <v>480000</v>
      </c>
      <c r="C37" s="62">
        <v>18737232865</v>
      </c>
      <c r="D37" s="62">
        <f>-18737232865</f>
        <v>-18737232865</v>
      </c>
      <c r="E37" s="35">
        <f>Table13[[#This Row],[10188628360.0000]]+Table13[[#This Row],[-9136554920.0000]]</f>
        <v>0</v>
      </c>
      <c r="F37" s="62">
        <v>480000</v>
      </c>
      <c r="G37" s="62">
        <v>18737232865</v>
      </c>
      <c r="H37" s="62">
        <v>-19634060024</v>
      </c>
      <c r="I37" s="62">
        <f>Table13[[#This Row],[-7423957592.0000]]+Table13[[#This Row],[Column7]]</f>
        <v>-896827159</v>
      </c>
    </row>
    <row r="38" spans="1:9" ht="23.1" customHeight="1" x14ac:dyDescent="0.45">
      <c r="A38" s="52" t="s">
        <v>57</v>
      </c>
      <c r="B38" s="62">
        <v>1450000</v>
      </c>
      <c r="C38" s="62">
        <v>21955958290</v>
      </c>
      <c r="D38" s="62">
        <f>-21955958290</f>
        <v>-21955958290</v>
      </c>
      <c r="E38" s="35">
        <f>Table13[[#This Row],[10188628360.0000]]+Table13[[#This Row],[-9136554920.0000]]</f>
        <v>0</v>
      </c>
      <c r="F38" s="62">
        <v>1450000</v>
      </c>
      <c r="G38" s="62">
        <v>21955958290</v>
      </c>
      <c r="H38" s="62">
        <v>-20583818255</v>
      </c>
      <c r="I38" s="62">
        <f>Table13[[#This Row],[-7423957592.0000]]+Table13[[#This Row],[Column7]]</f>
        <v>1372140035</v>
      </c>
    </row>
    <row r="39" spans="1:9" ht="23.1" customHeight="1" x14ac:dyDescent="0.45">
      <c r="A39" s="52" t="s">
        <v>110</v>
      </c>
      <c r="B39" s="62">
        <v>1099767</v>
      </c>
      <c r="C39" s="62">
        <v>9308497286</v>
      </c>
      <c r="D39" s="62">
        <f>-9308497286</f>
        <v>-9308497286</v>
      </c>
      <c r="E39" s="35">
        <f>Table13[[#This Row],[10188628360.0000]]+Table13[[#This Row],[-9136554920.0000]]</f>
        <v>0</v>
      </c>
      <c r="F39" s="62">
        <v>1099767</v>
      </c>
      <c r="G39" s="62">
        <v>9308497286</v>
      </c>
      <c r="H39" s="62">
        <v>-9527820982</v>
      </c>
      <c r="I39" s="62">
        <f>Table13[[#This Row],[-7423957592.0000]]+Table13[[#This Row],[Column7]]</f>
        <v>-219323696</v>
      </c>
    </row>
    <row r="40" spans="1:9" ht="23.1" customHeight="1" x14ac:dyDescent="0.45">
      <c r="A40" s="52" t="s">
        <v>154</v>
      </c>
      <c r="B40" s="62">
        <v>800000</v>
      </c>
      <c r="C40" s="62">
        <v>15042813200</v>
      </c>
      <c r="D40" s="62">
        <f>-15042813200</f>
        <v>-15042813200</v>
      </c>
      <c r="E40" s="35">
        <f>Table13[[#This Row],[10188628360.0000]]+Table13[[#This Row],[-9136554920.0000]]</f>
        <v>0</v>
      </c>
      <c r="F40" s="62">
        <v>800000</v>
      </c>
      <c r="G40" s="62">
        <v>15042813200</v>
      </c>
      <c r="H40" s="62">
        <v>-14792344493</v>
      </c>
      <c r="I40" s="62">
        <f>Table13[[#This Row],[-7423957592.0000]]+Table13[[#This Row],[Column7]]</f>
        <v>250468707</v>
      </c>
    </row>
    <row r="41" spans="1:9" ht="23.1" customHeight="1" x14ac:dyDescent="0.45">
      <c r="A41" s="52" t="s">
        <v>59</v>
      </c>
      <c r="B41" s="62">
        <v>133750</v>
      </c>
      <c r="C41" s="62">
        <v>5023304861</v>
      </c>
      <c r="D41" s="62">
        <f>-5023304861</f>
        <v>-5023304861</v>
      </c>
      <c r="E41" s="35">
        <f>Table13[[#This Row],[10188628360.0000]]+Table13[[#This Row],[-9136554920.0000]]</f>
        <v>0</v>
      </c>
      <c r="F41" s="62">
        <v>133750</v>
      </c>
      <c r="G41" s="62">
        <v>5023304861</v>
      </c>
      <c r="H41" s="62">
        <v>-5122841944</v>
      </c>
      <c r="I41" s="62">
        <f>Table13[[#This Row],[-7423957592.0000]]+Table13[[#This Row],[Column7]]</f>
        <v>-99537083</v>
      </c>
    </row>
    <row r="42" spans="1:9" ht="23.1" customHeight="1" x14ac:dyDescent="0.45">
      <c r="A42" s="52" t="s">
        <v>252</v>
      </c>
      <c r="B42" s="62">
        <v>1786111</v>
      </c>
      <c r="C42" s="62">
        <v>3078226835</v>
      </c>
      <c r="D42" s="62">
        <f>-3078226835</f>
        <v>-3078226835</v>
      </c>
      <c r="E42" s="35">
        <f>Table13[[#This Row],[10188628360.0000]]+Table13[[#This Row],[-9136554920.0000]]</f>
        <v>0</v>
      </c>
      <c r="F42" s="62">
        <v>1786111</v>
      </c>
      <c r="G42" s="62">
        <v>3078226835</v>
      </c>
      <c r="H42" s="62">
        <v>-3905258599</v>
      </c>
      <c r="I42" s="62">
        <f>Table13[[#This Row],[-7423957592.0000]]+Table13[[#This Row],[Column7]]</f>
        <v>-827031764</v>
      </c>
    </row>
    <row r="43" spans="1:9" ht="23.1" customHeight="1" x14ac:dyDescent="0.45">
      <c r="A43" s="52" t="s">
        <v>253</v>
      </c>
      <c r="B43" s="62">
        <v>284444</v>
      </c>
      <c r="C43" s="62">
        <v>2519740759</v>
      </c>
      <c r="D43" s="62">
        <f>-2519740759</f>
        <v>-2519740759</v>
      </c>
      <c r="E43" s="35">
        <f>Table13[[#This Row],[10188628360.0000]]+Table13[[#This Row],[-9136554920.0000]]</f>
        <v>0</v>
      </c>
      <c r="F43" s="62">
        <v>284444</v>
      </c>
      <c r="G43" s="62">
        <v>2519740759</v>
      </c>
      <c r="H43" s="62">
        <v>-2744094306</v>
      </c>
      <c r="I43" s="62">
        <f>Table13[[#This Row],[-7423957592.0000]]+Table13[[#This Row],[Column7]]</f>
        <v>-224353547</v>
      </c>
    </row>
    <row r="44" spans="1:9" ht="23.1" customHeight="1" x14ac:dyDescent="0.45">
      <c r="A44" s="52" t="s">
        <v>217</v>
      </c>
      <c r="B44" s="62">
        <v>13271526</v>
      </c>
      <c r="C44" s="62">
        <v>9333000</v>
      </c>
      <c r="D44" s="62">
        <f>-9333000</f>
        <v>-9333000</v>
      </c>
      <c r="E44" s="35">
        <f>Table13[[#This Row],[10188628360.0000]]+Table13[[#This Row],[-9136554920.0000]]</f>
        <v>0</v>
      </c>
      <c r="F44" s="62">
        <v>13271526</v>
      </c>
      <c r="G44" s="62">
        <v>9333000</v>
      </c>
      <c r="H44" s="62">
        <v>-9333000</v>
      </c>
      <c r="I44" s="35">
        <f>Table13[[#This Row],[-7423957592.0000]]+Table13[[#This Row],[Column7]]</f>
        <v>0</v>
      </c>
    </row>
    <row r="45" spans="1:9" ht="23.1" customHeight="1" x14ac:dyDescent="0.45">
      <c r="A45" s="52" t="s">
        <v>183</v>
      </c>
      <c r="B45" s="62">
        <v>15642000</v>
      </c>
      <c r="C45" s="62">
        <v>10991668</v>
      </c>
      <c r="D45" s="62">
        <f>-10991668</f>
        <v>-10991668</v>
      </c>
      <c r="E45" s="35">
        <f>Table13[[#This Row],[10188628360.0000]]+Table13[[#This Row],[-9136554920.0000]]</f>
        <v>0</v>
      </c>
      <c r="F45" s="62">
        <v>15642000</v>
      </c>
      <c r="G45" s="62">
        <v>10991668</v>
      </c>
      <c r="H45" s="62">
        <v>-10991668</v>
      </c>
      <c r="I45" s="35">
        <f>Table13[[#This Row],[-7423957592.0000]]+Table13[[#This Row],[Column7]]</f>
        <v>0</v>
      </c>
    </row>
    <row r="46" spans="1:9" ht="23.1" customHeight="1" x14ac:dyDescent="0.45">
      <c r="A46" s="52" t="s">
        <v>158</v>
      </c>
      <c r="B46" s="62">
        <v>3000000</v>
      </c>
      <c r="C46" s="62">
        <v>2997728</v>
      </c>
      <c r="D46" s="62">
        <f>-2997728</f>
        <v>-2997728</v>
      </c>
      <c r="E46" s="35">
        <f>Table13[[#This Row],[10188628360.0000]]+Table13[[#This Row],[-9136554920.0000]]</f>
        <v>0</v>
      </c>
      <c r="F46" s="62">
        <v>3000000</v>
      </c>
      <c r="G46" s="62">
        <v>2997728</v>
      </c>
      <c r="H46" s="62">
        <v>-11990910</v>
      </c>
      <c r="I46" s="62">
        <f>Table13[[#This Row],[-7423957592.0000]]+Table13[[#This Row],[Column7]]</f>
        <v>-8993182</v>
      </c>
    </row>
    <row r="47" spans="1:9" ht="23.1" customHeight="1" x14ac:dyDescent="0.45">
      <c r="A47" s="52" t="s">
        <v>218</v>
      </c>
      <c r="B47" s="62">
        <v>34000000</v>
      </c>
      <c r="C47" s="62">
        <v>7032668715</v>
      </c>
      <c r="D47" s="62">
        <f>-7032668715</f>
        <v>-7032668715</v>
      </c>
      <c r="E47" s="35">
        <f>Table13[[#This Row],[10188628360.0000]]+Table13[[#This Row],[-9136554920.0000]]</f>
        <v>0</v>
      </c>
      <c r="F47" s="62">
        <v>34000000</v>
      </c>
      <c r="G47" s="62">
        <v>7032668715</v>
      </c>
      <c r="H47" s="62">
        <v>-7915999085</v>
      </c>
      <c r="I47" s="62">
        <f>Table13[[#This Row],[-7423957592.0000]]+Table13[[#This Row],[Column7]]</f>
        <v>-883330370</v>
      </c>
    </row>
    <row r="48" spans="1:9" ht="23.1" customHeight="1" x14ac:dyDescent="0.45">
      <c r="A48" s="52" t="s">
        <v>254</v>
      </c>
      <c r="B48" s="62">
        <v>32457150</v>
      </c>
      <c r="C48" s="62">
        <v>3398348802</v>
      </c>
      <c r="D48" s="62">
        <f>-3398348802</f>
        <v>-3398348802</v>
      </c>
      <c r="E48" s="35">
        <f>Table13[[#This Row],[10188628360.0000]]+Table13[[#This Row],[-9136554920.0000]]</f>
        <v>0</v>
      </c>
      <c r="F48" s="62">
        <v>32457150</v>
      </c>
      <c r="G48" s="62">
        <v>3398348802</v>
      </c>
      <c r="H48" s="62">
        <v>-3257663166</v>
      </c>
      <c r="I48" s="62">
        <f>Table13[[#This Row],[-7423957592.0000]]+Table13[[#This Row],[Column7]]</f>
        <v>140685636</v>
      </c>
    </row>
    <row r="49" spans="1:9" ht="23.1" customHeight="1" x14ac:dyDescent="0.45">
      <c r="A49" s="52" t="s">
        <v>223</v>
      </c>
      <c r="B49" s="62">
        <v>19000000</v>
      </c>
      <c r="C49" s="62">
        <v>1727690283</v>
      </c>
      <c r="D49" s="62">
        <f>-1727690283</f>
        <v>-1727690283</v>
      </c>
      <c r="E49" s="35">
        <f>Table13[[#This Row],[10188628360.0000]]+Table13[[#This Row],[-9136554920.0000]]</f>
        <v>0</v>
      </c>
      <c r="F49" s="62">
        <v>19000000</v>
      </c>
      <c r="G49" s="62">
        <v>1727690283</v>
      </c>
      <c r="H49" s="62">
        <v>-1792133385</v>
      </c>
      <c r="I49" s="62">
        <f>Table13[[#This Row],[-7423957592.0000]]+Table13[[#This Row],[Column7]]</f>
        <v>-64443102</v>
      </c>
    </row>
    <row r="50" spans="1:9" ht="23.1" customHeight="1" x14ac:dyDescent="0.45">
      <c r="A50" s="52" t="s">
        <v>258</v>
      </c>
      <c r="B50" s="62">
        <v>38000000</v>
      </c>
      <c r="C50" s="62">
        <v>759424300</v>
      </c>
      <c r="D50" s="62">
        <f>-759424300</f>
        <v>-759424300</v>
      </c>
      <c r="E50" s="35">
        <f>Table13[[#This Row],[10188628360.0000]]+Table13[[#This Row],[-9136554920.0000]]</f>
        <v>0</v>
      </c>
      <c r="F50" s="62">
        <v>38000000</v>
      </c>
      <c r="G50" s="62">
        <v>759424300</v>
      </c>
      <c r="H50" s="62">
        <v>-1025222805</v>
      </c>
      <c r="I50" s="62">
        <f>Table13[[#This Row],[-7423957592.0000]]+Table13[[#This Row],[Column7]]</f>
        <v>-265798505</v>
      </c>
    </row>
    <row r="51" spans="1:9" ht="23.1" customHeight="1" x14ac:dyDescent="0.45">
      <c r="A51" s="52" t="s">
        <v>260</v>
      </c>
      <c r="B51" s="62">
        <v>2763000</v>
      </c>
      <c r="C51" s="62">
        <v>2760911</v>
      </c>
      <c r="D51" s="62">
        <f>-2760911</f>
        <v>-2760911</v>
      </c>
      <c r="E51" s="35">
        <f>Table13[[#This Row],[10188628360.0000]]+Table13[[#This Row],[-9136554920.0000]]</f>
        <v>0</v>
      </c>
      <c r="F51" s="62">
        <v>2763000</v>
      </c>
      <c r="G51" s="62">
        <v>2760911</v>
      </c>
      <c r="H51" s="62">
        <v>-11043630</v>
      </c>
      <c r="I51" s="62">
        <f>Table13[[#This Row],[-7423957592.0000]]+Table13[[#This Row],[Column7]]</f>
        <v>-8282719</v>
      </c>
    </row>
    <row r="52" spans="1:9" ht="23.1" customHeight="1" x14ac:dyDescent="0.45">
      <c r="A52" s="52" t="s">
        <v>230</v>
      </c>
      <c r="B52" s="35">
        <v>0</v>
      </c>
      <c r="C52" s="35">
        <v>0</v>
      </c>
      <c r="D52" s="35">
        <v>0</v>
      </c>
      <c r="E52" s="35">
        <f>Table13[[#This Row],[10188628360.0000]]+Table13[[#This Row],[-9136554920.0000]]</f>
        <v>0</v>
      </c>
      <c r="F52" s="35">
        <v>0</v>
      </c>
      <c r="G52" s="35">
        <v>0</v>
      </c>
      <c r="H52" s="62">
        <v>-194244000</v>
      </c>
      <c r="I52" s="62">
        <f>Table13[[#This Row],[-7423957592.0000]]+Table13[[#This Row],[Column7]]</f>
        <v>-194244000</v>
      </c>
    </row>
    <row r="53" spans="1:9" ht="23.1" customHeight="1" x14ac:dyDescent="0.45">
      <c r="A53" s="52" t="s">
        <v>232</v>
      </c>
      <c r="B53" s="62">
        <v>19000</v>
      </c>
      <c r="C53" s="62">
        <v>348404884</v>
      </c>
      <c r="D53" s="62">
        <f>-348404884</f>
        <v>-348404884</v>
      </c>
      <c r="E53" s="35">
        <f>Table13[[#This Row],[10188628360.0000]]+Table13[[#This Row],[-9136554920.0000]]</f>
        <v>0</v>
      </c>
      <c r="F53" s="62">
        <v>19000</v>
      </c>
      <c r="G53" s="62">
        <v>348404884</v>
      </c>
      <c r="H53" s="62">
        <v>-328356083</v>
      </c>
      <c r="I53" s="62">
        <f>Table13[[#This Row],[-7423957592.0000]]+Table13[[#This Row],[Column7]]</f>
        <v>20048801</v>
      </c>
    </row>
    <row r="54" spans="1:9" ht="23.1" customHeight="1" x14ac:dyDescent="0.45">
      <c r="A54" s="52" t="s">
        <v>234</v>
      </c>
      <c r="B54" s="62">
        <v>15480000</v>
      </c>
      <c r="C54" s="62">
        <v>1390945560</v>
      </c>
      <c r="D54" s="62">
        <f>-1390945560</f>
        <v>-1390945560</v>
      </c>
      <c r="E54" s="35">
        <f>Table13[[#This Row],[10188628360.0000]]+Table13[[#This Row],[-9136554920.0000]]</f>
        <v>0</v>
      </c>
      <c r="F54" s="62">
        <v>15480000</v>
      </c>
      <c r="G54" s="62">
        <v>1390945560</v>
      </c>
      <c r="H54" s="62">
        <v>-2697954750</v>
      </c>
      <c r="I54" s="62">
        <f>Table13[[#This Row],[-7423957592.0000]]+Table13[[#This Row],[Column7]]</f>
        <v>-1307009190</v>
      </c>
    </row>
    <row r="55" spans="1:9" ht="23.1" customHeight="1" x14ac:dyDescent="0.45">
      <c r="A55" s="52" t="s">
        <v>237</v>
      </c>
      <c r="B55" s="62">
        <v>8000000</v>
      </c>
      <c r="C55" s="62">
        <v>479636400</v>
      </c>
      <c r="D55" s="62">
        <f>-479636400</f>
        <v>-479636400</v>
      </c>
      <c r="E55" s="35">
        <f>Table13[[#This Row],[10188628360.0000]]+Table13[[#This Row],[-9136554920.0000]]</f>
        <v>0</v>
      </c>
      <c r="F55" s="62">
        <v>8000000</v>
      </c>
      <c r="G55" s="62">
        <v>479636400</v>
      </c>
      <c r="H55" s="62">
        <v>-429021966</v>
      </c>
      <c r="I55" s="62">
        <f>Table13[[#This Row],[-7423957592.0000]]+Table13[[#This Row],[Column7]]</f>
        <v>50614434</v>
      </c>
    </row>
    <row r="56" spans="1:9" ht="23.1" customHeight="1" x14ac:dyDescent="0.45">
      <c r="A56" s="52" t="s">
        <v>238</v>
      </c>
      <c r="B56" s="62">
        <v>19000000</v>
      </c>
      <c r="C56" s="62">
        <v>892323553</v>
      </c>
      <c r="D56" s="62">
        <f>-892323553</f>
        <v>-892323553</v>
      </c>
      <c r="E56" s="35">
        <f>Table13[[#This Row],[10188628360.0000]]+Table13[[#This Row],[-9136554920.0000]]</f>
        <v>0</v>
      </c>
      <c r="F56" s="62">
        <v>19000000</v>
      </c>
      <c r="G56" s="62">
        <v>892323553</v>
      </c>
      <c r="H56" s="62">
        <v>-916912367</v>
      </c>
      <c r="I56" s="62">
        <f>Table13[[#This Row],[-7423957592.0000]]+Table13[[#This Row],[Column7]]</f>
        <v>-24588814</v>
      </c>
    </row>
    <row r="57" spans="1:9" ht="23.1" customHeight="1" x14ac:dyDescent="0.45">
      <c r="A57" s="52" t="s">
        <v>219</v>
      </c>
      <c r="B57" s="62">
        <v>34000000</v>
      </c>
      <c r="C57" s="62">
        <v>3910000000</v>
      </c>
      <c r="D57" s="62">
        <f>-3910000000</f>
        <v>-3910000000</v>
      </c>
      <c r="E57" s="35">
        <f>Table13[[#This Row],[10188628360.0000]]+Table13[[#This Row],[-9136554920.0000]]</f>
        <v>0</v>
      </c>
      <c r="F57" s="62">
        <v>34000000</v>
      </c>
      <c r="G57" s="62">
        <v>3910000000</v>
      </c>
      <c r="H57" s="62">
        <v>-2856000000</v>
      </c>
      <c r="I57" s="62">
        <f>Table13[[#This Row],[-7423957592.0000]]+Table13[[#This Row],[Column7]]</f>
        <v>1054000000</v>
      </c>
    </row>
    <row r="58" spans="1:9" ht="23.1" customHeight="1" x14ac:dyDescent="0.45">
      <c r="A58" s="52" t="s">
        <v>220</v>
      </c>
      <c r="B58" s="62">
        <v>3000000</v>
      </c>
      <c r="C58" s="62">
        <v>129000000</v>
      </c>
      <c r="D58" s="62">
        <f>-129000000</f>
        <v>-129000000</v>
      </c>
      <c r="E58" s="35">
        <f>Table13[[#This Row],[10188628360.0000]]+Table13[[#This Row],[-9136554920.0000]]</f>
        <v>0</v>
      </c>
      <c r="F58" s="62">
        <v>3000000</v>
      </c>
      <c r="G58" s="62">
        <v>129000000</v>
      </c>
      <c r="H58" s="62">
        <v>-6000000</v>
      </c>
      <c r="I58" s="62">
        <f>Table13[[#This Row],[-7423957592.0000]]+Table13[[#This Row],[Column7]]</f>
        <v>123000000</v>
      </c>
    </row>
    <row r="59" spans="1:9" ht="23.1" customHeight="1" x14ac:dyDescent="0.45">
      <c r="A59" s="52" t="s">
        <v>221</v>
      </c>
      <c r="B59" s="35">
        <v>0</v>
      </c>
      <c r="C59" s="35">
        <v>0</v>
      </c>
      <c r="D59" s="35">
        <v>0</v>
      </c>
      <c r="E59" s="35">
        <f>Table13[[#This Row],[10188628360.0000]]+Table13[[#This Row],[-9136554920.0000]]</f>
        <v>0</v>
      </c>
      <c r="F59" s="35">
        <v>0</v>
      </c>
      <c r="G59" s="35">
        <v>0</v>
      </c>
      <c r="H59" s="62">
        <v>-331000000</v>
      </c>
      <c r="I59" s="62">
        <f>Table13[[#This Row],[-7423957592.0000]]+Table13[[#This Row],[Column7]]</f>
        <v>-331000000</v>
      </c>
    </row>
    <row r="60" spans="1:9" ht="23.1" customHeight="1" x14ac:dyDescent="0.45">
      <c r="A60" s="52" t="s">
        <v>193</v>
      </c>
      <c r="B60" s="35">
        <v>0</v>
      </c>
      <c r="C60" s="35">
        <v>0</v>
      </c>
      <c r="D60" s="35">
        <v>0</v>
      </c>
      <c r="E60" s="35">
        <f>Table13[[#This Row],[10188628360.0000]]+Table13[[#This Row],[-9136554920.0000]]</f>
        <v>0</v>
      </c>
      <c r="F60" s="35">
        <v>0</v>
      </c>
      <c r="G60" s="35">
        <v>0</v>
      </c>
      <c r="H60" s="62">
        <v>-71444444</v>
      </c>
      <c r="I60" s="62">
        <f>Table13[[#This Row],[-7423957592.0000]]+Table13[[#This Row],[Column7]]</f>
        <v>-71444444</v>
      </c>
    </row>
    <row r="61" spans="1:9" ht="23.1" customHeight="1" x14ac:dyDescent="0.45">
      <c r="A61" s="52" t="s">
        <v>255</v>
      </c>
      <c r="B61" s="62">
        <v>32421600</v>
      </c>
      <c r="C61" s="62">
        <v>1436400000</v>
      </c>
      <c r="D61" s="62">
        <f>-1436400000</f>
        <v>-1436400000</v>
      </c>
      <c r="E61" s="35">
        <f>Table13[[#This Row],[10188628360.0000]]+Table13[[#This Row],[-9136554920.0000]]</f>
        <v>0</v>
      </c>
      <c r="F61" s="62">
        <v>32421600</v>
      </c>
      <c r="G61" s="62">
        <v>1436400000</v>
      </c>
      <c r="H61" s="62">
        <v>-1415400000</v>
      </c>
      <c r="I61" s="62">
        <f>Table13[[#This Row],[-7423957592.0000]]+Table13[[#This Row],[Column7]]</f>
        <v>21000000</v>
      </c>
    </row>
    <row r="62" spans="1:9" ht="23.1" customHeight="1" x14ac:dyDescent="0.45">
      <c r="A62" s="52" t="s">
        <v>256</v>
      </c>
      <c r="B62" s="35">
        <v>0</v>
      </c>
      <c r="C62" s="35">
        <v>0</v>
      </c>
      <c r="D62" s="35">
        <v>0</v>
      </c>
      <c r="E62" s="35">
        <f>Table13[[#This Row],[10188628360.0000]]+Table13[[#This Row],[-9136554920.0000]]</f>
        <v>0</v>
      </c>
      <c r="F62" s="35">
        <v>0</v>
      </c>
      <c r="G62" s="35">
        <v>0</v>
      </c>
      <c r="H62" s="62">
        <v>-560580000</v>
      </c>
      <c r="I62" s="62">
        <f>Table13[[#This Row],[-7423957592.0000]]+Table13[[#This Row],[Column7]]</f>
        <v>-560580000</v>
      </c>
    </row>
    <row r="63" spans="1:9" ht="23.1" customHeight="1" x14ac:dyDescent="0.45">
      <c r="A63" s="52" t="s">
        <v>257</v>
      </c>
      <c r="B63" s="35">
        <v>0</v>
      </c>
      <c r="C63" s="35">
        <v>0</v>
      </c>
      <c r="D63" s="35">
        <v>0</v>
      </c>
      <c r="E63" s="35">
        <f>Table13[[#This Row],[10188628360.0000]]+Table13[[#This Row],[-9136554920.0000]]</f>
        <v>0</v>
      </c>
      <c r="F63" s="35">
        <v>0</v>
      </c>
      <c r="G63" s="35">
        <v>0</v>
      </c>
      <c r="H63" s="62">
        <v>-122012000</v>
      </c>
      <c r="I63" s="62">
        <f>Table13[[#This Row],[-7423957592.0000]]+Table13[[#This Row],[Column7]]</f>
        <v>-122012000</v>
      </c>
    </row>
    <row r="64" spans="1:9" ht="23.1" customHeight="1" x14ac:dyDescent="0.45">
      <c r="A64" s="52" t="s">
        <v>222</v>
      </c>
      <c r="B64" s="35">
        <v>0</v>
      </c>
      <c r="C64" s="35">
        <v>0</v>
      </c>
      <c r="D64" s="35">
        <v>0</v>
      </c>
      <c r="E64" s="35">
        <f>Table13[[#This Row],[10188628360.0000]]+Table13[[#This Row],[-9136554920.0000]]</f>
        <v>0</v>
      </c>
      <c r="F64" s="35">
        <v>0</v>
      </c>
      <c r="G64" s="35">
        <v>0</v>
      </c>
      <c r="H64" s="62">
        <v>-30000000</v>
      </c>
      <c r="I64" s="62">
        <f>Table13[[#This Row],[-7423957592.0000]]+Table13[[#This Row],[Column7]]</f>
        <v>-30000000</v>
      </c>
    </row>
    <row r="65" spans="1:9" ht="23.1" customHeight="1" x14ac:dyDescent="0.45">
      <c r="A65" s="52" t="s">
        <v>185</v>
      </c>
      <c r="B65" s="35">
        <v>0</v>
      </c>
      <c r="C65" s="35">
        <v>0</v>
      </c>
      <c r="D65" s="35">
        <v>0</v>
      </c>
      <c r="E65" s="35">
        <f>Table13[[#This Row],[10188628360.0000]]+Table13[[#This Row],[-9136554920.0000]]</f>
        <v>0</v>
      </c>
      <c r="F65" s="35">
        <v>0</v>
      </c>
      <c r="G65" s="35">
        <v>0</v>
      </c>
      <c r="H65" s="62">
        <v>-268800000</v>
      </c>
      <c r="I65" s="62">
        <f>Table13[[#This Row],[-7423957592.0000]]+Table13[[#This Row],[Column7]]</f>
        <v>-268800000</v>
      </c>
    </row>
    <row r="66" spans="1:9" ht="23.1" customHeight="1" x14ac:dyDescent="0.45">
      <c r="A66" s="52" t="s">
        <v>262</v>
      </c>
      <c r="B66" s="62">
        <v>13000000</v>
      </c>
      <c r="C66" s="62">
        <v>676000000</v>
      </c>
      <c r="D66" s="62">
        <f>-676000000</f>
        <v>-676000000</v>
      </c>
      <c r="E66" s="35">
        <f>Table13[[#This Row],[10188628360.0000]]+Table13[[#This Row],[-9136554920.0000]]</f>
        <v>0</v>
      </c>
      <c r="F66" s="62">
        <v>13000000</v>
      </c>
      <c r="G66" s="62">
        <v>676000000</v>
      </c>
      <c r="H66" s="62">
        <v>-767000000</v>
      </c>
      <c r="I66" s="62">
        <f>Table13[[#This Row],[-7423957592.0000]]+Table13[[#This Row],[Column7]]</f>
        <v>-91000000</v>
      </c>
    </row>
    <row r="67" spans="1:9" ht="23.1" customHeight="1" x14ac:dyDescent="0.45">
      <c r="A67" s="52" t="s">
        <v>224</v>
      </c>
      <c r="B67" s="35">
        <v>0</v>
      </c>
      <c r="C67" s="35">
        <v>0</v>
      </c>
      <c r="D67" s="35">
        <v>0</v>
      </c>
      <c r="E67" s="35">
        <f>Table13[[#This Row],[10188628360.0000]]+Table13[[#This Row],[-9136554920.0000]]</f>
        <v>0</v>
      </c>
      <c r="F67" s="35">
        <v>0</v>
      </c>
      <c r="G67" s="35">
        <v>0</v>
      </c>
      <c r="H67" s="62">
        <v>-286500000</v>
      </c>
      <c r="I67" s="62">
        <f>Table13[[#This Row],[-7423957592.0000]]+Table13[[#This Row],[Column7]]</f>
        <v>-286500000</v>
      </c>
    </row>
    <row r="68" spans="1:9" ht="23.1" customHeight="1" x14ac:dyDescent="0.45">
      <c r="A68" s="52" t="s">
        <v>225</v>
      </c>
      <c r="B68" s="35">
        <v>0</v>
      </c>
      <c r="C68" s="35">
        <v>0</v>
      </c>
      <c r="D68" s="35">
        <v>0</v>
      </c>
      <c r="E68" s="35">
        <f>Table13[[#This Row],[10188628360.0000]]+Table13[[#This Row],[-9136554920.0000]]</f>
        <v>0</v>
      </c>
      <c r="F68" s="35">
        <v>0</v>
      </c>
      <c r="G68" s="35">
        <v>0</v>
      </c>
      <c r="H68" s="62">
        <v>-13458000</v>
      </c>
      <c r="I68" s="62">
        <f>Table13[[#This Row],[-7423957592.0000]]+Table13[[#This Row],[Column7]]</f>
        <v>-13458000</v>
      </c>
    </row>
    <row r="69" spans="1:9" ht="23.1" customHeight="1" x14ac:dyDescent="0.45">
      <c r="A69" s="52" t="s">
        <v>226</v>
      </c>
      <c r="B69" s="35">
        <v>0</v>
      </c>
      <c r="C69" s="35">
        <v>0</v>
      </c>
      <c r="D69" s="35">
        <v>0</v>
      </c>
      <c r="E69" s="35">
        <f>Table13[[#This Row],[10188628360.0000]]+Table13[[#This Row],[-9136554920.0000]]</f>
        <v>0</v>
      </c>
      <c r="F69" s="35">
        <v>0</v>
      </c>
      <c r="G69" s="35">
        <v>0</v>
      </c>
      <c r="H69" s="62">
        <v>-598000</v>
      </c>
      <c r="I69" s="62">
        <f>Table13[[#This Row],[-7423957592.0000]]+Table13[[#This Row],[Column7]]</f>
        <v>-598000</v>
      </c>
    </row>
    <row r="70" spans="1:9" ht="23.1" customHeight="1" x14ac:dyDescent="0.45">
      <c r="A70" s="52" t="s">
        <v>227</v>
      </c>
      <c r="B70" s="62">
        <v>500000</v>
      </c>
      <c r="C70" s="62">
        <v>57500000</v>
      </c>
      <c r="D70" s="62">
        <f>-57500000</f>
        <v>-57500000</v>
      </c>
      <c r="E70" s="35">
        <f>Table13[[#This Row],[10188628360.0000]]+Table13[[#This Row],[-9136554920.0000]]</f>
        <v>0</v>
      </c>
      <c r="F70" s="62">
        <v>500000</v>
      </c>
      <c r="G70" s="62">
        <v>57500000</v>
      </c>
      <c r="H70" s="62">
        <v>45000000</v>
      </c>
      <c r="I70" s="62">
        <f>Table13[[#This Row],[-7423957592.0000]]+Table13[[#This Row],[Column7]]</f>
        <v>102500000</v>
      </c>
    </row>
    <row r="71" spans="1:9" ht="23.1" customHeight="1" x14ac:dyDescent="0.45">
      <c r="A71" s="52" t="s">
        <v>228</v>
      </c>
      <c r="B71" s="35">
        <v>0</v>
      </c>
      <c r="C71" s="35">
        <v>0</v>
      </c>
      <c r="D71" s="35">
        <v>0</v>
      </c>
      <c r="E71" s="35">
        <f>Table13[[#This Row],[10188628360.0000]]+Table13[[#This Row],[-9136554920.0000]]</f>
        <v>0</v>
      </c>
      <c r="F71" s="35">
        <v>0</v>
      </c>
      <c r="G71" s="35">
        <v>0</v>
      </c>
      <c r="H71" s="62">
        <v>-231805000</v>
      </c>
      <c r="I71" s="62">
        <f>Table13[[#This Row],[-7423957592.0000]]+Table13[[#This Row],[Column7]]</f>
        <v>-231805000</v>
      </c>
    </row>
    <row r="72" spans="1:9" ht="23.1" customHeight="1" x14ac:dyDescent="0.45">
      <c r="A72" s="52" t="s">
        <v>180</v>
      </c>
      <c r="B72" s="35">
        <v>0</v>
      </c>
      <c r="C72" s="35">
        <v>0</v>
      </c>
      <c r="D72" s="35">
        <v>0</v>
      </c>
      <c r="E72" s="35">
        <f>Table13[[#This Row],[10188628360.0000]]+Table13[[#This Row],[-9136554920.0000]]</f>
        <v>0</v>
      </c>
      <c r="F72" s="35">
        <v>0</v>
      </c>
      <c r="G72" s="35">
        <v>0</v>
      </c>
      <c r="H72" s="62">
        <v>-86400000</v>
      </c>
      <c r="I72" s="62">
        <f>Table13[[#This Row],[-7423957592.0000]]+Table13[[#This Row],[Column7]]</f>
        <v>-86400000</v>
      </c>
    </row>
    <row r="73" spans="1:9" ht="23.1" customHeight="1" x14ac:dyDescent="0.45">
      <c r="A73" s="52" t="s">
        <v>189</v>
      </c>
      <c r="B73" s="35">
        <v>0</v>
      </c>
      <c r="C73" s="35">
        <v>0</v>
      </c>
      <c r="D73" s="35">
        <v>0</v>
      </c>
      <c r="E73" s="35">
        <f>Table13[[#This Row],[10188628360.0000]]+Table13[[#This Row],[-9136554920.0000]]</f>
        <v>0</v>
      </c>
      <c r="F73" s="35">
        <v>0</v>
      </c>
      <c r="G73" s="35">
        <v>0</v>
      </c>
      <c r="H73" s="62">
        <v>-93682259</v>
      </c>
      <c r="I73" s="62">
        <f>Table13[[#This Row],[-7423957592.0000]]+Table13[[#This Row],[Column7]]</f>
        <v>-93682259</v>
      </c>
    </row>
    <row r="74" spans="1:9" ht="23.1" customHeight="1" x14ac:dyDescent="0.45">
      <c r="A74" s="52" t="s">
        <v>259</v>
      </c>
      <c r="B74" s="35">
        <v>0</v>
      </c>
      <c r="C74" s="35">
        <v>0</v>
      </c>
      <c r="D74" s="35">
        <v>0</v>
      </c>
      <c r="E74" s="35">
        <f>Table13[[#This Row],[10188628360.0000]]+Table13[[#This Row],[-9136554920.0000]]</f>
        <v>0</v>
      </c>
      <c r="F74" s="35">
        <v>0</v>
      </c>
      <c r="G74" s="35">
        <v>0</v>
      </c>
      <c r="H74" s="62">
        <v>-1532428000</v>
      </c>
      <c r="I74" s="62">
        <f>Table13[[#This Row],[-7423957592.0000]]+Table13[[#This Row],[Column7]]</f>
        <v>-1532428000</v>
      </c>
    </row>
    <row r="75" spans="1:9" ht="23.1" customHeight="1" x14ac:dyDescent="0.45">
      <c r="A75" s="52" t="s">
        <v>229</v>
      </c>
      <c r="B75" s="62">
        <v>81000</v>
      </c>
      <c r="C75" s="62">
        <v>136890000</v>
      </c>
      <c r="D75" s="62">
        <f>-136890000</f>
        <v>-136890000</v>
      </c>
      <c r="E75" s="35">
        <f>Table13[[#This Row],[10188628360.0000]]+Table13[[#This Row],[-9136554920.0000]]</f>
        <v>0</v>
      </c>
      <c r="F75" s="62">
        <v>81000</v>
      </c>
      <c r="G75" s="62">
        <v>136890000</v>
      </c>
      <c r="H75" s="62">
        <v>-146610000</v>
      </c>
      <c r="I75" s="62">
        <f>Table13[[#This Row],[-7423957592.0000]]+Table13[[#This Row],[Column7]]</f>
        <v>-9720000</v>
      </c>
    </row>
    <row r="76" spans="1:9" ht="23.1" customHeight="1" x14ac:dyDescent="0.45">
      <c r="A76" s="52" t="s">
        <v>191</v>
      </c>
      <c r="B76" s="62">
        <v>1092000</v>
      </c>
      <c r="C76" s="62">
        <v>1265628000</v>
      </c>
      <c r="D76" s="62">
        <f>-1265628000</f>
        <v>-1265628000</v>
      </c>
      <c r="E76" s="35">
        <f>Table13[[#This Row],[10188628360.0000]]+Table13[[#This Row],[-9136554920.0000]]</f>
        <v>0</v>
      </c>
      <c r="F76" s="62">
        <v>1092000</v>
      </c>
      <c r="G76" s="62">
        <v>1265628000</v>
      </c>
      <c r="H76" s="62">
        <v>-1303848000</v>
      </c>
      <c r="I76" s="62">
        <f>Table13[[#This Row],[-7423957592.0000]]+Table13[[#This Row],[Column7]]</f>
        <v>-38220000</v>
      </c>
    </row>
    <row r="77" spans="1:9" ht="23.1" customHeight="1" x14ac:dyDescent="0.45">
      <c r="A77" s="52" t="s">
        <v>231</v>
      </c>
      <c r="B77" s="62">
        <v>2020000</v>
      </c>
      <c r="C77" s="62">
        <v>50500000</v>
      </c>
      <c r="D77" s="62">
        <f>-50500000</f>
        <v>-50500000</v>
      </c>
      <c r="E77" s="35">
        <f>Table13[[#This Row],[10188628360.0000]]+Table13[[#This Row],[-9136554920.0000]]</f>
        <v>0</v>
      </c>
      <c r="F77" s="62">
        <v>2020000</v>
      </c>
      <c r="G77" s="62">
        <v>50500000</v>
      </c>
      <c r="H77" s="62">
        <v>-418378963</v>
      </c>
      <c r="I77" s="62">
        <f>Table13[[#This Row],[-7423957592.0000]]+Table13[[#This Row],[Column7]]</f>
        <v>-367878963</v>
      </c>
    </row>
    <row r="78" spans="1:9" ht="23.1" customHeight="1" x14ac:dyDescent="0.45">
      <c r="A78" s="52" t="s">
        <v>233</v>
      </c>
      <c r="B78" s="62">
        <v>13000</v>
      </c>
      <c r="C78" s="62">
        <v>170040000</v>
      </c>
      <c r="D78" s="62">
        <f>-170040000</f>
        <v>-170040000</v>
      </c>
      <c r="E78" s="35">
        <f>Table13[[#This Row],[10188628360.0000]]+Table13[[#This Row],[-9136554920.0000]]</f>
        <v>0</v>
      </c>
      <c r="F78" s="62">
        <v>13000</v>
      </c>
      <c r="G78" s="62">
        <v>170040000</v>
      </c>
      <c r="H78" s="62">
        <v>-179140000</v>
      </c>
      <c r="I78" s="62">
        <f>Table13[[#This Row],[-7423957592.0000]]+Table13[[#This Row],[Column7]]</f>
        <v>-9100000</v>
      </c>
    </row>
    <row r="79" spans="1:9" ht="23.1" customHeight="1" x14ac:dyDescent="0.45">
      <c r="A79" s="52" t="s">
        <v>235</v>
      </c>
      <c r="B79" s="62">
        <v>15480000</v>
      </c>
      <c r="C79" s="62">
        <v>420000000</v>
      </c>
      <c r="D79" s="62">
        <f>-420000000</f>
        <v>-420000000</v>
      </c>
      <c r="E79" s="35">
        <f>Table13[[#This Row],[10188628360.0000]]+Table13[[#This Row],[-9136554920.0000]]</f>
        <v>0</v>
      </c>
      <c r="F79" s="62">
        <v>15480000</v>
      </c>
      <c r="G79" s="62">
        <v>420000000</v>
      </c>
      <c r="H79" s="62">
        <v>149000000</v>
      </c>
      <c r="I79" s="62">
        <f>Table13[[#This Row],[-7423957592.0000]]+Table13[[#This Row],[Column7]]</f>
        <v>569000000</v>
      </c>
    </row>
    <row r="80" spans="1:9" ht="23.1" customHeight="1" x14ac:dyDescent="0.45">
      <c r="A80" s="52" t="s">
        <v>236</v>
      </c>
      <c r="B80" s="35">
        <v>0</v>
      </c>
      <c r="C80" s="35">
        <v>0</v>
      </c>
      <c r="D80" s="35">
        <v>0</v>
      </c>
      <c r="E80" s="35">
        <f>Table13[[#This Row],[10188628360.0000]]+Table13[[#This Row],[-9136554920.0000]]</f>
        <v>0</v>
      </c>
      <c r="F80" s="35">
        <v>0</v>
      </c>
      <c r="G80" s="35">
        <v>0</v>
      </c>
      <c r="H80" s="62">
        <v>-234050000</v>
      </c>
      <c r="I80" s="62">
        <f>Table13[[#This Row],[-7423957592.0000]]+Table13[[#This Row],[Column7]]</f>
        <v>-234050000</v>
      </c>
    </row>
    <row r="81" spans="1:9" ht="23.1" customHeight="1" x14ac:dyDescent="0.45">
      <c r="A81" s="52" t="s">
        <v>239</v>
      </c>
      <c r="B81" s="62">
        <v>12000000</v>
      </c>
      <c r="C81" s="62">
        <v>288000000</v>
      </c>
      <c r="D81" s="62">
        <f>-288000000</f>
        <v>-288000000</v>
      </c>
      <c r="E81" s="35">
        <f>Table13[[#This Row],[10188628360.0000]]+Table13[[#This Row],[-9136554920.0000]]</f>
        <v>0</v>
      </c>
      <c r="F81" s="62">
        <v>12000000</v>
      </c>
      <c r="G81" s="62">
        <v>288000000</v>
      </c>
      <c r="H81" s="62">
        <v>-361976821</v>
      </c>
      <c r="I81" s="62">
        <f>Table13[[#This Row],[-7423957592.0000]]+Table13[[#This Row],[Column7]]</f>
        <v>-73976821</v>
      </c>
    </row>
    <row r="82" spans="1:9" ht="23.1" customHeight="1" x14ac:dyDescent="0.45">
      <c r="A82" s="52" t="s">
        <v>184</v>
      </c>
      <c r="B82" s="35">
        <v>0</v>
      </c>
      <c r="C82" s="35">
        <v>0</v>
      </c>
      <c r="D82" s="35">
        <v>0</v>
      </c>
      <c r="E82" s="35">
        <f>Table13[[#This Row],[10188628360.0000]]+Table13[[#This Row],[-9136554920.0000]]</f>
        <v>0</v>
      </c>
      <c r="F82" s="35">
        <v>0</v>
      </c>
      <c r="G82" s="35">
        <v>0</v>
      </c>
      <c r="H82" s="62">
        <v>-66000000</v>
      </c>
      <c r="I82" s="62">
        <f>Table13[[#This Row],[-7423957592.0000]]+Table13[[#This Row],[Column7]]</f>
        <v>-66000000</v>
      </c>
    </row>
    <row r="83" spans="1:9" ht="23.1" customHeight="1" x14ac:dyDescent="0.45">
      <c r="A83" s="52" t="s">
        <v>190</v>
      </c>
      <c r="B83" s="62">
        <v>2000</v>
      </c>
      <c r="C83" s="62">
        <v>18800000</v>
      </c>
      <c r="D83" s="62">
        <f>-18800000</f>
        <v>-18800000</v>
      </c>
      <c r="E83" s="35">
        <f>Table13[[#This Row],[10188628360.0000]]+Table13[[#This Row],[-9136554920.0000]]</f>
        <v>0</v>
      </c>
      <c r="F83" s="62">
        <v>2000</v>
      </c>
      <c r="G83" s="62">
        <v>18800000</v>
      </c>
      <c r="H83" s="62">
        <v>-18800000</v>
      </c>
      <c r="I83" s="35">
        <f>Table13[[#This Row],[-7423957592.0000]]+Table13[[#This Row],[Column7]]</f>
        <v>0</v>
      </c>
    </row>
    <row r="84" spans="1:9" ht="23.1" customHeight="1" x14ac:dyDescent="0.45">
      <c r="A84" s="52" t="s">
        <v>188</v>
      </c>
      <c r="B84" s="62">
        <v>118000</v>
      </c>
      <c r="C84" s="62">
        <v>590000</v>
      </c>
      <c r="D84" s="62">
        <f>-590000</f>
        <v>-590000</v>
      </c>
      <c r="E84" s="35">
        <f>Table13[[#This Row],[10188628360.0000]]+Table13[[#This Row],[-9136554920.0000]]</f>
        <v>0</v>
      </c>
      <c r="F84" s="62">
        <v>118000</v>
      </c>
      <c r="G84" s="62">
        <v>590000</v>
      </c>
      <c r="H84" s="62">
        <v>-590000</v>
      </c>
      <c r="I84" s="35">
        <f>Table13[[#This Row],[-7423957592.0000]]+Table13[[#This Row],[Column7]]</f>
        <v>0</v>
      </c>
    </row>
    <row r="85" spans="1:9" ht="23.1" customHeight="1" thickBot="1" x14ac:dyDescent="0.5">
      <c r="A85" s="52" t="s">
        <v>178</v>
      </c>
      <c r="B85" s="62">
        <v>100000</v>
      </c>
      <c r="C85" s="62">
        <v>74000000</v>
      </c>
      <c r="D85" s="62">
        <f>-74000000</f>
        <v>-74000000</v>
      </c>
      <c r="E85" s="35">
        <f>Table13[[#This Row],[10188628360.0000]]+Table13[[#This Row],[-9136554920.0000]]</f>
        <v>0</v>
      </c>
      <c r="F85" s="62">
        <v>100000</v>
      </c>
      <c r="G85" s="62">
        <v>74000000</v>
      </c>
      <c r="H85" s="62">
        <v>-77000000</v>
      </c>
      <c r="I85" s="62">
        <f>Table13[[#This Row],[-7423957592.0000]]+Table13[[#This Row],[Column7]]</f>
        <v>-3000000</v>
      </c>
    </row>
    <row r="86" spans="1:9" ht="23.1" customHeight="1" thickBot="1" x14ac:dyDescent="0.5">
      <c r="A86" s="63" t="s">
        <v>60</v>
      </c>
      <c r="B86" s="64"/>
      <c r="C86" s="64">
        <f>SUBTOTAL(109,C7:C85)</f>
        <v>497167580789</v>
      </c>
      <c r="D86" s="64">
        <f t="shared" ref="D86:H86" si="0">SUBTOTAL(109,D7:D85)</f>
        <v>-497167580789</v>
      </c>
      <c r="E86" s="64">
        <f>SUBTOTAL(109,E7:E85)</f>
        <v>0</v>
      </c>
      <c r="F86" s="64"/>
      <c r="G86" s="64">
        <f t="shared" si="0"/>
        <v>497167580789</v>
      </c>
      <c r="H86" s="64">
        <f t="shared" si="0"/>
        <v>-509968838003</v>
      </c>
      <c r="I86" s="64">
        <f>SUBTOTAL(109,I7:I85)</f>
        <v>-12801257214</v>
      </c>
    </row>
    <row r="87" spans="1:9" ht="18.75" thickTop="1" x14ac:dyDescent="0.45">
      <c r="B87" s="77"/>
      <c r="E87" s="77"/>
    </row>
    <row r="88" spans="1:9" x14ac:dyDescent="0.45">
      <c r="H88" s="113"/>
      <c r="I88" s="114"/>
    </row>
    <row r="89" spans="1:9" x14ac:dyDescent="0.45">
      <c r="A89" s="78"/>
      <c r="B89" s="77"/>
      <c r="C89" s="77"/>
      <c r="I89" s="76"/>
    </row>
    <row r="90" spans="1:9" x14ac:dyDescent="0.45">
      <c r="A90" s="77"/>
      <c r="C90" s="77"/>
      <c r="D90" s="78"/>
      <c r="I90" s="78"/>
    </row>
    <row r="91" spans="1:9" x14ac:dyDescent="0.45">
      <c r="D91" s="77"/>
    </row>
    <row r="92" spans="1:9" x14ac:dyDescent="0.45">
      <c r="D92" s="78"/>
    </row>
    <row r="93" spans="1:9" x14ac:dyDescent="0.45">
      <c r="D93" s="77"/>
    </row>
    <row r="95" spans="1:9" x14ac:dyDescent="0.45">
      <c r="D95" s="77"/>
    </row>
  </sheetData>
  <mergeCells count="6">
    <mergeCell ref="B5:E5"/>
    <mergeCell ref="F5:I5"/>
    <mergeCell ref="A4:D4"/>
    <mergeCell ref="A1:I1"/>
    <mergeCell ref="A2:I2"/>
    <mergeCell ref="A3:I3"/>
  </mergeCells>
  <pageMargins left="0.7" right="0.7" top="0.75" bottom="0.75" header="0.3" footer="0.3"/>
  <pageSetup paperSize="9" scale="73" orientation="landscape" horizontalDpi="4294967295" verticalDpi="4294967295" r:id="rId1"/>
  <headerFooter differentOddEven="1" differentFirst="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</vt:lpstr>
      <vt:lpstr> سهام</vt:lpstr>
      <vt:lpstr>اوراق مشتقه</vt:lpstr>
      <vt:lpstr>درآمدها</vt:lpstr>
      <vt:lpstr>سپرده</vt:lpstr>
      <vt:lpstr>سود سپرده بانکی</vt:lpstr>
      <vt:lpstr>درآمد سود سهام</vt:lpstr>
      <vt:lpstr>درآمد ناشی ازفروش</vt:lpstr>
      <vt:lpstr>درآمد ناشی از تغییر قیمت اوراق </vt:lpstr>
      <vt:lpstr>درآمد سرمایه گذاری در سهام</vt:lpstr>
      <vt:lpstr>درآمد سرمایه گذاری در اوراق بها</vt:lpstr>
      <vt:lpstr>درآمد سرمایه گذاری در صندوق</vt:lpstr>
      <vt:lpstr>درآمد سپرده بانکی</vt:lpstr>
      <vt:lpstr>سایر درآمدها</vt:lpstr>
      <vt:lpstr>' سهام'!Print_Area</vt:lpstr>
      <vt:lpstr>'1'!Print_Area</vt:lpstr>
      <vt:lpstr>'اوراق مشتقه'!Print_Area</vt:lpstr>
      <vt:lpstr>'درآمد سپرده بانکی'!Print_Area</vt:lpstr>
      <vt:lpstr>'درآمد سرمایه گذاری در اوراق بها'!Print_Area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سپرده بانکی'!Print_Area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گزارش پرتفوی ماهانه صندوق‌های سرمایه‌گذاری</dc:title>
  <dc:creator>Mabna</dc:creator>
  <cp:keywords>EPPlus noncommercial use</cp:keywords>
  <dc:description>This workbook has been created with EPPlus licensed to Mabna under The Polyform Noncommercial License: See https://polyformproject.org/licenses/noncommercial/1.0.0</dc:description>
  <cp:lastModifiedBy>Sahar Mirpour</cp:lastModifiedBy>
  <cp:lastPrinted>2022-07-11T16:32:10Z</cp:lastPrinted>
  <dcterms:created xsi:type="dcterms:W3CDTF">2017-11-22T14:26:20Z</dcterms:created>
  <dcterms:modified xsi:type="dcterms:W3CDTF">2026-04-29T06:16:51Z</dcterms:modified>
</cp:coreProperties>
</file>